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theme/themeOverride1.xml" ContentType="application/vnd.openxmlformats-officedocument.themeOverride+xml"/>
  <Override PartName="/xl/charts/chart6.xml" ContentType="application/vnd.openxmlformats-officedocument.drawingml.chart+xml"/>
  <Override PartName="/xl/theme/themeOverride2.xml" ContentType="application/vnd.openxmlformats-officedocument.themeOverride+xml"/>
  <Override PartName="/xl/charts/chart7.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omments2.xml" ContentType="application/vnd.openxmlformats-officedocument.spreadsheetml.comments+xml"/>
  <Override PartName="/xl/drawings/drawing17.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1.xml" ContentType="application/vnd.openxmlformats-officedocument.drawing+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4.xml" ContentType="application/vnd.openxmlformats-officedocument.drawing+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5.xml" ContentType="application/vnd.openxmlformats-officedocument.drawing+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6.xml" ContentType="application/vnd.openxmlformats-officedocument.drawing+xml"/>
  <Override PartName="/xl/charts/chart26.xml" ContentType="application/vnd.openxmlformats-officedocument.drawingml.chart+xml"/>
  <Override PartName="/xl/charts/style23.xml" ContentType="application/vnd.ms-office.chartstyle+xml"/>
  <Override PartName="/xl/charts/colors23.xml" ContentType="application/vnd.ms-office.chartcolorstyle+xml"/>
  <Override PartName="/xl/charts/chart27.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7.xml" ContentType="application/vnd.openxmlformats-officedocument.drawing+xml"/>
  <Override PartName="/xl/charts/chart28.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8.xml" ContentType="application/vnd.openxmlformats-officedocument.drawing+xml"/>
  <Override PartName="/xl/charts/chart29.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30.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31.xml" ContentType="application/vnd.openxmlformats-officedocument.drawing+xml"/>
  <Override PartName="/xl/charts/chart31.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2.xml" ContentType="application/vnd.openxmlformats-officedocument.drawing+xml"/>
  <Override PartName="/xl/charts/chart32.xml" ContentType="application/vnd.openxmlformats-officedocument.drawingml.chart+xml"/>
  <Override PartName="/xl/charts/style29.xml" ContentType="application/vnd.ms-office.chartstyle+xml"/>
  <Override PartName="/xl/charts/colors29.xml" ContentType="application/vnd.ms-office.chartcolorstyle+xml"/>
  <Override PartName="/xl/charts/chart33.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3.xml" ContentType="application/vnd.openxmlformats-officedocument.drawing+xml"/>
  <Override PartName="/xl/charts/chart34.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4.xml" ContentType="application/vnd.openxmlformats-officedocument.drawing+xml"/>
  <Override PartName="/xl/charts/chart35.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35.xml" ContentType="application/vnd.openxmlformats-officedocument.drawing+xml"/>
  <Override PartName="/xl/charts/chart36.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6.xml" ContentType="application/vnd.openxmlformats-officedocument.drawing+xml"/>
  <Override PartName="/xl/charts/chart37.xml" ContentType="application/vnd.openxmlformats-officedocument.drawingml.chart+xml"/>
  <Override PartName="/xl/charts/style34.xml" ContentType="application/vnd.ms-office.chartstyle+xml"/>
  <Override PartName="/xl/charts/colors34.xml" ContentType="application/vnd.ms-office.chartcolorstyle+xml"/>
  <Override PartName="/xl/charts/chart38.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7.xml" ContentType="application/vnd.openxmlformats-officedocument.drawing+xml"/>
  <Override PartName="/xl/charts/chart39.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38.xml" ContentType="application/vnd.openxmlformats-officedocument.drawing+xml"/>
  <Override PartName="/xl/charts/chart40.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39.xml" ContentType="application/vnd.openxmlformats-officedocument.drawing+xml"/>
  <Override PartName="/xl/charts/chart41.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harts/chart42.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42.xml" ContentType="application/vnd.openxmlformats-officedocument.drawing+xml"/>
  <Override PartName="/xl/drawings/drawing43.xml" ContentType="application/vnd.openxmlformats-officedocument.drawing+xml"/>
  <Override PartName="/xl/charts/chart43.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44.xml" ContentType="application/vnd.openxmlformats-officedocument.drawing+xml"/>
  <Override PartName="/xl/charts/chart44.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45.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47.xml" ContentType="application/vnd.openxmlformats-officedocument.drawing+xml"/>
  <Override PartName="/xl/charts/chart46.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48.xml" ContentType="application/vnd.openxmlformats-officedocument.drawing+xml"/>
  <Override PartName="/xl/charts/chart47.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49.xml" ContentType="application/vnd.openxmlformats-officedocument.drawing+xml"/>
  <Override PartName="/xl/charts/chart48.xml" ContentType="application/vnd.openxmlformats-officedocument.drawingml.chart+xml"/>
  <Override PartName="/xl/charts/style45.xml" ContentType="application/vnd.ms-office.chartstyle+xml"/>
  <Override PartName="/xl/charts/colors45.xml" ContentType="application/vnd.ms-office.chartcolorstyle+xml"/>
  <Override PartName="/xl/charts/chart49.xml" ContentType="application/vnd.openxmlformats-officedocument.drawingml.chart+xml"/>
  <Override PartName="/xl/charts/style46.xml" ContentType="application/vnd.ms-office.chartstyle+xml"/>
  <Override PartName="/xl/charts/colors46.xml" ContentType="application/vnd.ms-office.chartcolorstyle+xml"/>
  <Override PartName="/xl/charts/chart50.xml" ContentType="application/vnd.openxmlformats-officedocument.drawingml.chart+xml"/>
  <Override PartName="/xl/charts/style47.xml" ContentType="application/vnd.ms-office.chartstyle+xml"/>
  <Override PartName="/xl/charts/colors47.xml" ContentType="application/vnd.ms-office.chartcolorstyle+xml"/>
  <Override PartName="/xl/charts/chart51.xml" ContentType="application/vnd.openxmlformats-officedocument.drawingml.chart+xml"/>
  <Override PartName="/xl/charts/style48.xml" ContentType="application/vnd.ms-office.chartstyle+xml"/>
  <Override PartName="/xl/charts/colors48.xml" ContentType="application/vnd.ms-office.chartcolorstyle+xml"/>
  <Override PartName="/xl/charts/chart52.xml" ContentType="application/vnd.openxmlformats-officedocument.drawingml.chart+xml"/>
  <Override PartName="/xl/charts/style49.xml" ContentType="application/vnd.ms-office.chartstyle+xml"/>
  <Override PartName="/xl/charts/colors49.xml" ContentType="application/vnd.ms-office.chartcolorstyle+xml"/>
  <Override PartName="/xl/charts/chart53.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charts/chart54.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charts/chart55.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55.xml" ContentType="application/vnd.openxmlformats-officedocument.drawing+xml"/>
  <Override PartName="/xl/charts/chart56.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56.xml" ContentType="application/vnd.openxmlformats-officedocument.drawing+xml"/>
  <Override PartName="/xl/charts/chart57.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57.xml" ContentType="application/vnd.openxmlformats-officedocument.drawing+xml"/>
  <Override PartName="/xl/charts/chart58.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58.xml" ContentType="application/vnd.openxmlformats-officedocument.drawingml.chartshapes+xml"/>
  <Override PartName="/xl/drawings/drawing59.xml" ContentType="application/vnd.openxmlformats-officedocument.drawing+xml"/>
  <Override PartName="/xl/charts/chart59.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60.xml" ContentType="application/vnd.openxmlformats-officedocument.drawing+xml"/>
  <Override PartName="/xl/charts/chart60.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61.xml" ContentType="application/vnd.openxmlformats-officedocument.drawing+xml"/>
  <Override PartName="/xl/charts/chart61.xml" ContentType="application/vnd.openxmlformats-officedocument.drawingml.chart+xml"/>
  <Override PartName="/xl/charts/style58.xml" ContentType="application/vnd.ms-office.chartstyle+xml"/>
  <Override PartName="/xl/charts/colors58.xml" ContentType="application/vnd.ms-office.chartcolorstyle+xml"/>
  <Override PartName="/xl/charts/chart62.xml" ContentType="application/vnd.openxmlformats-officedocument.drawingml.chart+xml"/>
  <Override PartName="/xl/charts/style59.xml" ContentType="application/vnd.ms-office.chartstyle+xml"/>
  <Override PartName="/xl/charts/colors59.xml" ContentType="application/vnd.ms-office.chartcolorstyle+xml"/>
  <Override PartName="/xl/drawings/drawing62.xml" ContentType="application/vnd.openxmlformats-officedocument.drawing+xml"/>
  <Override PartName="/xl/charts/chart63.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63.xml" ContentType="application/vnd.openxmlformats-officedocument.drawing+xml"/>
  <Override PartName="/xl/charts/chart64.xml" ContentType="application/vnd.openxmlformats-officedocument.drawingml.chart+xml"/>
  <Override PartName="/xl/charts/style61.xml" ContentType="application/vnd.ms-office.chartstyle+xml"/>
  <Override PartName="/xl/charts/colors61.xml" ContentType="application/vnd.ms-office.chartcolorstyle+xml"/>
  <Override PartName="/xl/drawings/drawing64.xml" ContentType="application/vnd.openxmlformats-officedocument.drawing+xml"/>
  <Override PartName="/xl/charts/chart65.xml" ContentType="application/vnd.openxmlformats-officedocument.drawingml.chart+xml"/>
  <Override PartName="/xl/charts/style62.xml" ContentType="application/vnd.ms-office.chartstyle+xml"/>
  <Override PartName="/xl/charts/colors6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mc:AlternateContent xmlns:mc="http://schemas.openxmlformats.org/markup-compatibility/2006">
    <mc:Choice Requires="x15">
      <x15ac:absPath xmlns:x15ac="http://schemas.microsoft.com/office/spreadsheetml/2010/11/ac" url="C:\Users\dkano\OneDrive\Desktop\AFSD 2025\Final Products\"/>
    </mc:Choice>
  </mc:AlternateContent>
  <xr:revisionPtr revIDLastSave="0" documentId="8_{579C66C5-F2DF-4060-A66C-3D8F0362B0D2}" xr6:coauthVersionLast="47" xr6:coauthVersionMax="47" xr10:uidLastSave="{00000000-0000-0000-0000-000000000000}"/>
  <bookViews>
    <workbookView xWindow="-110" yWindow="-110" windowWidth="19420" windowHeight="11500" tabRatio="863" firstSheet="42" activeTab="45" xr2:uid="{62DD0039-B32F-48F6-BA1D-D608D5C10E6C}"/>
  </bookViews>
  <sheets>
    <sheet name="Content" sheetId="57" r:id="rId1"/>
    <sheet name="Section I_Fig1" sheetId="1" r:id="rId2"/>
    <sheet name="Section I_Fig2" sheetId="2" r:id="rId3"/>
    <sheet name="Section I_Fig3" sheetId="3" r:id="rId4"/>
    <sheet name="Section I_Fig4" sheetId="4" r:id="rId5"/>
    <sheet name="Section I_Fig5" sheetId="5" r:id="rId6"/>
    <sheet name="Section I_Fig6" sheetId="131" r:id="rId7"/>
    <sheet name="Section I_Fig7" sheetId="7" r:id="rId8"/>
    <sheet name="Section I_Fig8" sheetId="132" r:id="rId9"/>
    <sheet name="Maternity &amp; Paternity leave" sheetId="133" r:id="rId10"/>
    <sheet name="ILO Conventions" sheetId="85" r:id="rId11"/>
    <sheet name="G1_National Poverty" sheetId="9" r:id="rId12"/>
    <sheet name="G1_Extreme Poverty" sheetId="8" r:id="rId13"/>
    <sheet name="G1_Social Protection Benefits" sheetId="11" r:id="rId14"/>
    <sheet name="G1_Adult &amp; Youth Illiteracy" sheetId="10" r:id="rId15"/>
    <sheet name="G1_Vulnerable Employment" sheetId="12" r:id="rId16"/>
    <sheet name="G1_Fig9" sheetId="115" r:id="rId17"/>
    <sheet name="G1_Fig10" sheetId="88" r:id="rId18"/>
    <sheet name="G1_Fig11" sheetId="89" r:id="rId19"/>
    <sheet name="G2_2.1.1" sheetId="13" r:id="rId20"/>
    <sheet name="G2_2.1.2" sheetId="14" r:id="rId21"/>
    <sheet name="G2_2.2.3" sheetId="15" r:id="rId22"/>
    <sheet name="G2_Healthy diet" sheetId="16" r:id="rId23"/>
    <sheet name="G2_Exclusive Breast Feeding" sheetId="17" r:id="rId24"/>
    <sheet name="G2_Fig12" sheetId="90" r:id="rId25"/>
    <sheet name="G2_Fig13" sheetId="91" r:id="rId26"/>
    <sheet name="G3_3.1.1" sheetId="18" r:id="rId27"/>
    <sheet name="G3_3.1.2" sheetId="19" r:id="rId28"/>
    <sheet name="G3_3.7.1" sheetId="62" r:id="rId29"/>
    <sheet name="G3_3.7.2" sheetId="21" r:id="rId30"/>
    <sheet name="G3_3.9.1" sheetId="41" r:id="rId31"/>
    <sheet name="G3_3.9.2_Wash Deaths" sheetId="33" r:id="rId32"/>
    <sheet name="G3_UNICEF Data_NJ" sheetId="20" r:id="rId33"/>
    <sheet name="G2_Fig14" sheetId="92" r:id="rId34"/>
    <sheet name="G2_Fig15" sheetId="110" r:id="rId35"/>
    <sheet name="G4_4.1.1 Minimum Proficiency" sheetId="22" r:id="rId36"/>
    <sheet name="G4_4.1.2 Completion Rate" sheetId="24" r:id="rId37"/>
    <sheet name="G4_4.2.1 Children Development" sheetId="23" r:id="rId38"/>
    <sheet name="G4_4.6.1 Out of School" sheetId="25" r:id="rId39"/>
    <sheet name="G4_4.6.1 Out of School (2)" sheetId="26" r:id="rId40"/>
    <sheet name="G4_Fig16" sheetId="119" r:id="rId41"/>
    <sheet name="G4_Fig17" sheetId="118" r:id="rId42"/>
    <sheet name="G5_5.1.1" sheetId="61" r:id="rId43"/>
    <sheet name="G5_5.1.1 (regional)" sheetId="158" r:id="rId44"/>
    <sheet name="G5_5.2.1_VAW" sheetId="65" r:id="rId45"/>
    <sheet name="G5_5.3.1 Married Before 18" sheetId="27" r:id="rId46"/>
    <sheet name="G5_5.3.2" sheetId="28" r:id="rId47"/>
    <sheet name="G5_5.5.1a Women in Parliaments" sheetId="29" r:id="rId48"/>
    <sheet name="G5_5.5.1b Women in Local Gov." sheetId="30" r:id="rId49"/>
    <sheet name="G5_5.5.2" sheetId="31" r:id="rId50"/>
    <sheet name="G5_5.b.1" sheetId="32" r:id="rId51"/>
    <sheet name="G5_Fig18" sheetId="100" r:id="rId52"/>
    <sheet name="G5_Fig19" sheetId="101" r:id="rId53"/>
    <sheet name="G5_Fig20" sheetId="116" r:id="rId54"/>
    <sheet name="G5_Fig21" sheetId="80" r:id="rId55"/>
    <sheet name="G6_Safe &amp; Basic Serv. (summary)" sheetId="34" r:id="rId56"/>
    <sheet name="G6_Safely and Basic Services" sheetId="35" r:id="rId57"/>
    <sheet name="G6_Handwashing" sheetId="36" r:id="rId58"/>
    <sheet name="G6_Collecting Water Forecast" sheetId="38" r:id="rId59"/>
    <sheet name="G6_Fig22" sheetId="96" r:id="rId60"/>
    <sheet name="G6_Fig23" sheetId="37" r:id="rId61"/>
    <sheet name="G7_7.1.1" sheetId="39" r:id="rId62"/>
    <sheet name="G7_7.1.2" sheetId="40" r:id="rId63"/>
    <sheet name="G7_7.1.2 (continued)" sheetId="66" r:id="rId64"/>
    <sheet name="G7_Fig24" sheetId="98" r:id="rId65"/>
    <sheet name="G7_Fig25" sheetId="95" r:id="rId66"/>
    <sheet name="G8_Employment by status" sheetId="44" r:id="rId67"/>
    <sheet name="G8_8.3.1" sheetId="45" r:id="rId68"/>
    <sheet name="G8_8.5.2" sheetId="46" r:id="rId69"/>
    <sheet name="G8_8.6.1" sheetId="47" r:id="rId70"/>
    <sheet name="G8_8.10.2" sheetId="48" r:id="rId71"/>
    <sheet name="G8_Prime Age with 6yrs child" sheetId="70" r:id="rId72"/>
    <sheet name="G8_LF" sheetId="152" r:id="rId73"/>
    <sheet name="G8_Fig26&amp;27" sheetId="122" r:id="rId74"/>
    <sheet name="G8_Fig28" sheetId="125" r:id="rId75"/>
    <sheet name="G8_Fig29" sheetId="126" r:id="rId76"/>
    <sheet name="G8_Fig30" sheetId="124" r:id="rId77"/>
    <sheet name="G9_Employment by Sector" sheetId="58" r:id="rId78"/>
    <sheet name="G9_Inventors" sheetId="64" r:id="rId79"/>
    <sheet name="G9_Female Researchers" sheetId="42" r:id="rId80"/>
    <sheet name="G9_9.2.2" sheetId="59" r:id="rId81"/>
    <sheet name="G9_9.c.1_Covered by Mobile ntwk" sheetId="43" r:id="rId82"/>
    <sheet name="G9_COPA&amp;Email" sheetId="120" r:id="rId83"/>
    <sheet name="G9_Fig31" sheetId="112" r:id="rId84"/>
    <sheet name="G9_Fig32" sheetId="134" r:id="rId85"/>
    <sheet name="G10_10.3.1 Discrimination" sheetId="49" r:id="rId86"/>
    <sheet name="G10_Refugees &amp; IDP" sheetId="50" r:id="rId87"/>
    <sheet name="G10_Gender Income Gap" sheetId="51" r:id="rId88"/>
    <sheet name="G10_Fig33" sheetId="108" r:id="rId89"/>
    <sheet name="G10_Fig34" sheetId="135" r:id="rId90"/>
    <sheet name="G11_11.1.1" sheetId="52" r:id="rId91"/>
    <sheet name="G11_Fig35" sheetId="136" r:id="rId92"/>
    <sheet name="G15_15.3.1_land degradation" sheetId="63" r:id="rId93"/>
    <sheet name="Fig36" sheetId="111" r:id="rId94"/>
    <sheet name="Fig37" sheetId="155" r:id="rId95"/>
    <sheet name="G16_16.7.1b" sheetId="54" r:id="rId96"/>
    <sheet name="G16_Fig38" sheetId="53" r:id="rId97"/>
    <sheet name="G16_Fig39" sheetId="104" r:id="rId98"/>
    <sheet name="G16_Fig40" sheetId="105" r:id="rId99"/>
    <sheet name="G17_17.6.1" sheetId="67" r:id="rId100"/>
    <sheet name="G17_17.8.1" sheetId="60" r:id="rId101"/>
    <sheet name="G17_Fig41" sheetId="140" r:id="rId102"/>
    <sheet name="G17_Fig42" sheetId="153" r:id="rId103"/>
    <sheet name="G17_Fig43" sheetId="137" r:id="rId104"/>
    <sheet name="G17_Fig44" sheetId="138" r:id="rId105"/>
    <sheet name="G17_Fig45" sheetId="154" r:id="rId106"/>
    <sheet name="G17_ODGI" sheetId="141" r:id="rId107"/>
    <sheet name="Table 1" sheetId="156" r:id="rId108"/>
    <sheet name="Table 2" sheetId="157" r:id="rId109"/>
    <sheet name="PB_1" sheetId="143" r:id="rId110"/>
    <sheet name="PB_2" sheetId="144" r:id="rId111"/>
    <sheet name="PB_3" sheetId="145" r:id="rId112"/>
    <sheet name="PB_4" sheetId="149" r:id="rId113"/>
    <sheet name="PB_5" sheetId="146" r:id="rId114"/>
    <sheet name="PB_6" sheetId="147" r:id="rId115"/>
    <sheet name="PB_7" sheetId="148" r:id="rId116"/>
    <sheet name="PB_8" sheetId="150" r:id="rId117"/>
    <sheet name="PB_9" sheetId="142" r:id="rId118"/>
    <sheet name="PB_10" sheetId="151" r:id="rId119"/>
  </sheets>
  <externalReferences>
    <externalReference r:id="rId120"/>
    <externalReference r:id="rId121"/>
    <externalReference r:id="rId122"/>
  </externalReferences>
  <definedNames>
    <definedName name="_xlnm._FilterDatabase" localSheetId="12" hidden="1">'G1_Extreme Poverty'!$A$3:$I$33</definedName>
    <definedName name="_xlnm._FilterDatabase" localSheetId="87" hidden="1">'G10_Gender Income Gap'!$A$1:$C$22</definedName>
    <definedName name="_xlnm._FilterDatabase" localSheetId="86" hidden="1">'G10_Refugees &amp; IDP'!$A$2:$E$20</definedName>
    <definedName name="_xlnm._FilterDatabase" localSheetId="99" hidden="1">'G17_17.6.1'!$A$2:$C$28</definedName>
    <definedName name="_xlnm._FilterDatabase" localSheetId="104" hidden="1">G17_Fig44!$A$1:$J$24</definedName>
    <definedName name="_xlnm._FilterDatabase" localSheetId="106" hidden="1">G17_ODGI!$A$1:$D$21</definedName>
    <definedName name="_xlnm._FilterDatabase" localSheetId="20" hidden="1">'G2_2.1.2'!$A$4:$O$104</definedName>
    <definedName name="_xlnm._FilterDatabase" localSheetId="24" hidden="1">G2_Fig12!#REF!</definedName>
    <definedName name="_xlnm._FilterDatabase" localSheetId="22" hidden="1">'G2_Healthy diet'!$A$2:$E$80</definedName>
    <definedName name="_xlnm._FilterDatabase" localSheetId="28" hidden="1">'G3_3.7.1'!$A$2:$C$47</definedName>
    <definedName name="_xlnm._FilterDatabase" localSheetId="29" hidden="1">'G3_3.7.2'!$A$2:$D$47</definedName>
    <definedName name="_xlnm._FilterDatabase" localSheetId="30" hidden="1">'G3_3.9.1'!$A$2:$F$38</definedName>
    <definedName name="_xlnm._FilterDatabase" localSheetId="45" hidden="1">'G5_5.3.1 Married Before 18'!$A$2:$D$20</definedName>
    <definedName name="_xlnm._FilterDatabase" localSheetId="58" hidden="1">'G6_Collecting Water Forecast'!$B$2:$F$27</definedName>
    <definedName name="_xlnm._FilterDatabase" localSheetId="57" hidden="1">G6_Handwashing!$A$2:$E$28</definedName>
    <definedName name="_xlnm._FilterDatabase" localSheetId="56" hidden="1">'G6_Safely and Basic Services'!$A$1:$Z$38</definedName>
    <definedName name="_xlnm._FilterDatabase" localSheetId="62" hidden="1">'G7_7.1.2'!$A$2:$J$23</definedName>
    <definedName name="_xlnm._FilterDatabase" localSheetId="63" hidden="1">'G7_7.1.2 (continued)'!$A$2:$E$37</definedName>
    <definedName name="_xlnm._FilterDatabase" localSheetId="68" hidden="1">'G8_8.5.2'!$A$1:$I$93</definedName>
    <definedName name="_xlnm._FilterDatabase" localSheetId="69" hidden="1">'G8_8.6.1'!#REF!</definedName>
    <definedName name="_xlnm._FilterDatabase" localSheetId="73" hidden="1">'G8_Fig26&amp;27'!#REF!</definedName>
    <definedName name="_xlnm._FilterDatabase" localSheetId="80" hidden="1">'G9_9.2.2'!$A$3:$I$10</definedName>
    <definedName name="_xlnm._FilterDatabase" localSheetId="81" hidden="1">'G9_9.c.1_Covered by Mobile ntwk'!$A$3:$G$19</definedName>
    <definedName name="_xlnm._FilterDatabase" localSheetId="77" hidden="1">'G9_Employment by Sector'!$A$3:$I$24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14" l="1"/>
  <c r="R5" i="155"/>
  <c r="R6" i="155" s="1"/>
  <c r="R7" i="155" s="1"/>
  <c r="R8" i="155" s="1"/>
  <c r="R9" i="155" s="1"/>
  <c r="R10" i="155" s="1"/>
  <c r="R11" i="155" s="1"/>
  <c r="R12" i="155" s="1"/>
  <c r="R13" i="155" s="1"/>
  <c r="R14" i="155" s="1"/>
  <c r="R15" i="155" s="1"/>
  <c r="R16" i="155" s="1"/>
  <c r="R17" i="155" s="1"/>
  <c r="R18" i="155" s="1"/>
  <c r="B2" i="57"/>
  <c r="B3" i="57"/>
  <c r="B4" i="57"/>
  <c r="B5" i="57"/>
  <c r="B6" i="57"/>
  <c r="B7" i="57"/>
  <c r="B8" i="57"/>
  <c r="B9" i="57"/>
  <c r="B10" i="57"/>
  <c r="B11" i="57"/>
  <c r="B12" i="57"/>
  <c r="B13" i="57"/>
  <c r="B14" i="57"/>
  <c r="B15" i="57"/>
  <c r="B16" i="57"/>
  <c r="B17" i="57"/>
  <c r="B18" i="57"/>
  <c r="B19" i="57"/>
  <c r="B20" i="57"/>
  <c r="B21" i="57"/>
  <c r="B22" i="57"/>
  <c r="B23" i="57"/>
  <c r="B24" i="57"/>
  <c r="B25" i="57"/>
  <c r="B26" i="57"/>
  <c r="B27" i="57"/>
  <c r="B28" i="57"/>
  <c r="B29" i="57"/>
  <c r="B30" i="57"/>
  <c r="B31" i="57"/>
  <c r="B32" i="57"/>
  <c r="B33" i="57"/>
  <c r="B34" i="57"/>
  <c r="B35" i="57"/>
  <c r="B36" i="57"/>
  <c r="B37" i="57"/>
  <c r="B38" i="57"/>
  <c r="B39" i="57"/>
  <c r="B40" i="57"/>
  <c r="B41" i="57"/>
  <c r="B42" i="57"/>
  <c r="B43" i="57"/>
  <c r="B44" i="57"/>
  <c r="B45" i="57"/>
  <c r="B46" i="57"/>
  <c r="B47" i="57"/>
  <c r="B48" i="57"/>
  <c r="B49" i="57"/>
  <c r="B50" i="57"/>
  <c r="B51" i="57"/>
  <c r="B52" i="57"/>
  <c r="B53" i="57"/>
  <c r="B54" i="57"/>
  <c r="B55" i="57"/>
  <c r="B56" i="57"/>
  <c r="B57" i="57"/>
  <c r="B58" i="57"/>
  <c r="B59" i="57"/>
  <c r="B60" i="57"/>
  <c r="B61" i="57"/>
  <c r="B62" i="57"/>
  <c r="B63" i="57"/>
  <c r="B64" i="57"/>
  <c r="B65" i="57"/>
  <c r="B66" i="57"/>
  <c r="B67" i="57"/>
  <c r="B68" i="57"/>
  <c r="B69" i="57"/>
  <c r="B70" i="57"/>
  <c r="B71" i="57"/>
  <c r="B72" i="57"/>
  <c r="B73" i="57"/>
  <c r="B74" i="57"/>
  <c r="B75" i="57"/>
  <c r="B76" i="57"/>
  <c r="B77" i="57"/>
  <c r="B78" i="57"/>
  <c r="B79" i="57"/>
  <c r="B80" i="57"/>
  <c r="B81" i="57"/>
  <c r="B82" i="57"/>
  <c r="B83" i="57"/>
  <c r="B84" i="57"/>
  <c r="B85" i="57"/>
  <c r="B86" i="57"/>
  <c r="B87" i="57"/>
  <c r="B88" i="57"/>
  <c r="B89" i="57"/>
  <c r="B90" i="57"/>
  <c r="B91" i="57"/>
  <c r="B92" i="57"/>
  <c r="B93" i="57"/>
  <c r="B94" i="57"/>
  <c r="B95" i="57"/>
  <c r="B96" i="57"/>
  <c r="B97" i="57"/>
  <c r="B98" i="57"/>
  <c r="B99" i="57"/>
  <c r="B100" i="57"/>
  <c r="B101" i="57"/>
  <c r="B102" i="57"/>
  <c r="B103" i="57"/>
  <c r="B104" i="57"/>
  <c r="B105" i="57"/>
  <c r="B106" i="57"/>
  <c r="B107" i="57"/>
  <c r="B108" i="57"/>
  <c r="B109" i="57"/>
  <c r="B110" i="57"/>
  <c r="B111" i="57"/>
  <c r="B112" i="57"/>
  <c r="B113" i="57"/>
  <c r="B114" i="57"/>
  <c r="B115" i="57"/>
  <c r="B116" i="57"/>
  <c r="F2" i="140"/>
  <c r="F3" i="140"/>
  <c r="F4" i="140"/>
  <c r="F10" i="140"/>
  <c r="D6" i="149"/>
  <c r="D5" i="149"/>
  <c r="D4" i="149"/>
  <c r="D3" i="149"/>
  <c r="D2" i="149"/>
  <c r="B2" i="142" l="1"/>
  <c r="I3" i="138"/>
  <c r="I4" i="138"/>
  <c r="I5" i="138"/>
  <c r="I6" i="138"/>
  <c r="I7" i="138"/>
  <c r="I8" i="138"/>
  <c r="I9" i="138"/>
  <c r="I10" i="138"/>
  <c r="I11" i="138"/>
  <c r="I12" i="138"/>
  <c r="I13" i="138"/>
  <c r="I14" i="138"/>
  <c r="I15" i="138"/>
  <c r="I16" i="138"/>
  <c r="I17" i="138"/>
  <c r="I18" i="138"/>
  <c r="I19" i="138"/>
  <c r="I20" i="138"/>
  <c r="I21" i="138"/>
  <c r="I22" i="138"/>
  <c r="I23" i="138"/>
  <c r="I2" i="138"/>
  <c r="G23" i="138"/>
  <c r="F23" i="138"/>
  <c r="J23" i="138" s="1"/>
  <c r="E23" i="138"/>
  <c r="H23" i="138" s="1"/>
  <c r="G22" i="138"/>
  <c r="F22" i="138"/>
  <c r="J22" i="138" s="1"/>
  <c r="E22" i="138"/>
  <c r="H22" i="138" s="1"/>
  <c r="G21" i="138"/>
  <c r="F21" i="138"/>
  <c r="J21" i="138" s="1"/>
  <c r="E21" i="138"/>
  <c r="H21" i="138" s="1"/>
  <c r="G20" i="138"/>
  <c r="F20" i="138"/>
  <c r="J20" i="138" s="1"/>
  <c r="E20" i="138"/>
  <c r="H20" i="138" s="1"/>
  <c r="H19" i="138"/>
  <c r="G19" i="138"/>
  <c r="F19" i="138"/>
  <c r="J19" i="138" s="1"/>
  <c r="E19" i="138"/>
  <c r="G18" i="138"/>
  <c r="F18" i="138"/>
  <c r="J18" i="138" s="1"/>
  <c r="E18" i="138"/>
  <c r="H18" i="138" s="1"/>
  <c r="G17" i="138"/>
  <c r="F17" i="138"/>
  <c r="J17" i="138" s="1"/>
  <c r="E17" i="138"/>
  <c r="H17" i="138" s="1"/>
  <c r="J16" i="138"/>
  <c r="G16" i="138"/>
  <c r="F16" i="138"/>
  <c r="E16" i="138"/>
  <c r="H16" i="138" s="1"/>
  <c r="H15" i="138"/>
  <c r="G15" i="138"/>
  <c r="F15" i="138"/>
  <c r="J15" i="138" s="1"/>
  <c r="E15" i="138"/>
  <c r="H14" i="138"/>
  <c r="G14" i="138"/>
  <c r="F14" i="138"/>
  <c r="J14" i="138" s="1"/>
  <c r="E14" i="138"/>
  <c r="G13" i="138"/>
  <c r="F13" i="138"/>
  <c r="J13" i="138" s="1"/>
  <c r="E13" i="138"/>
  <c r="H13" i="138" s="1"/>
  <c r="G12" i="138"/>
  <c r="F12" i="138"/>
  <c r="J12" i="138" s="1"/>
  <c r="E12" i="138"/>
  <c r="H12" i="138" s="1"/>
  <c r="G11" i="138"/>
  <c r="F11" i="138"/>
  <c r="J11" i="138" s="1"/>
  <c r="E11" i="138"/>
  <c r="H11" i="138" s="1"/>
  <c r="J10" i="138"/>
  <c r="G10" i="138"/>
  <c r="F10" i="138"/>
  <c r="E10" i="138"/>
  <c r="H10" i="138" s="1"/>
  <c r="G9" i="138"/>
  <c r="F9" i="138"/>
  <c r="J9" i="138" s="1"/>
  <c r="E9" i="138"/>
  <c r="H9" i="138" s="1"/>
  <c r="G8" i="138"/>
  <c r="F8" i="138"/>
  <c r="J8" i="138" s="1"/>
  <c r="E8" i="138"/>
  <c r="H8" i="138" s="1"/>
  <c r="G7" i="138"/>
  <c r="F7" i="138"/>
  <c r="J7" i="138" s="1"/>
  <c r="E7" i="138"/>
  <c r="H7" i="138" s="1"/>
  <c r="G6" i="138"/>
  <c r="F6" i="138"/>
  <c r="J6" i="138" s="1"/>
  <c r="E6" i="138"/>
  <c r="H6" i="138" s="1"/>
  <c r="G5" i="138"/>
  <c r="F5" i="138"/>
  <c r="J5" i="138" s="1"/>
  <c r="E5" i="138"/>
  <c r="H5" i="138" s="1"/>
  <c r="G4" i="138"/>
  <c r="F4" i="138"/>
  <c r="J4" i="138" s="1"/>
  <c r="E4" i="138"/>
  <c r="H4" i="138" s="1"/>
  <c r="G3" i="138"/>
  <c r="F3" i="138"/>
  <c r="J3" i="138" s="1"/>
  <c r="E3" i="138"/>
  <c r="H3" i="138" s="1"/>
  <c r="H2" i="138"/>
  <c r="G2" i="138"/>
  <c r="F2" i="138"/>
  <c r="J2" i="138" s="1"/>
  <c r="E2" i="138"/>
  <c r="C22" i="141"/>
  <c r="B22" i="141"/>
  <c r="D5" i="140"/>
  <c r="E5" i="140"/>
  <c r="F5" i="140" s="1"/>
  <c r="D6" i="140"/>
  <c r="E6" i="140"/>
  <c r="F6" i="140" s="1"/>
  <c r="D7" i="140"/>
  <c r="E7" i="140"/>
  <c r="F7" i="140" s="1"/>
  <c r="E8" i="140"/>
  <c r="F8" i="140" s="1"/>
  <c r="E9" i="140"/>
  <c r="F9" i="140" s="1"/>
  <c r="J12" i="22"/>
  <c r="H12" i="22"/>
  <c r="J11" i="22"/>
  <c r="H11" i="22"/>
  <c r="J10" i="22"/>
  <c r="H10" i="22"/>
  <c r="J9" i="22"/>
  <c r="H9" i="22"/>
  <c r="J8" i="22"/>
  <c r="H8" i="22"/>
  <c r="J7" i="22"/>
  <c r="H7" i="22"/>
  <c r="J6" i="22"/>
  <c r="H6" i="22"/>
  <c r="J5" i="22"/>
  <c r="H5" i="22"/>
  <c r="J4" i="22"/>
  <c r="H4" i="22"/>
  <c r="L19" i="17"/>
  <c r="L3" i="17"/>
  <c r="L4" i="17"/>
  <c r="L5" i="17"/>
  <c r="L6" i="17"/>
  <c r="L7" i="17"/>
  <c r="L8" i="17"/>
  <c r="L9" i="17"/>
  <c r="L10" i="17"/>
  <c r="L11" i="17"/>
  <c r="L12" i="17"/>
  <c r="L13" i="17"/>
  <c r="L14" i="17"/>
  <c r="L15" i="17"/>
  <c r="L16" i="17"/>
  <c r="L17" i="17"/>
  <c r="L18" i="17"/>
  <c r="L2" i="17"/>
  <c r="K19" i="17"/>
  <c r="J19" i="17"/>
  <c r="G24" i="138" l="1"/>
  <c r="I24" i="138" s="1"/>
  <c r="H24" i="138"/>
  <c r="J24" i="138"/>
  <c r="D18" i="53"/>
  <c r="D17" i="53"/>
  <c r="D16" i="53"/>
  <c r="D15" i="53"/>
  <c r="D14" i="53"/>
  <c r="D13" i="53"/>
  <c r="D12" i="53"/>
  <c r="D11" i="53"/>
  <c r="D10" i="53"/>
  <c r="D9" i="53"/>
  <c r="D8" i="53"/>
  <c r="D7" i="53"/>
  <c r="D6" i="53"/>
  <c r="D5" i="53"/>
  <c r="D4" i="53"/>
  <c r="D3" i="53"/>
  <c r="D2" i="53"/>
  <c r="B19" i="50"/>
  <c r="B20" i="50" s="1"/>
  <c r="B16" i="50"/>
  <c r="B17" i="50" s="1"/>
  <c r="B13" i="50"/>
  <c r="B14" i="50" s="1"/>
  <c r="B7" i="50"/>
  <c r="B8" i="50" s="1"/>
  <c r="J23" i="40"/>
  <c r="J22" i="40"/>
  <c r="J21" i="40"/>
  <c r="J20" i="40"/>
  <c r="J19" i="40"/>
  <c r="J18" i="40"/>
  <c r="J17" i="40"/>
  <c r="J16" i="40"/>
  <c r="J15" i="40"/>
  <c r="J14" i="40"/>
  <c r="J13" i="40"/>
  <c r="J12" i="40"/>
  <c r="J11" i="40"/>
  <c r="J10" i="40"/>
  <c r="J9" i="40"/>
  <c r="J8" i="40"/>
  <c r="J7" i="40"/>
  <c r="J6" i="40"/>
  <c r="J5" i="40"/>
  <c r="J4" i="40"/>
  <c r="J3" i="40"/>
  <c r="G27" i="39"/>
  <c r="E27" i="39"/>
  <c r="C27" i="39"/>
  <c r="B27" i="39"/>
  <c r="F26" i="39"/>
  <c r="F27" i="39" s="1"/>
  <c r="D26" i="39"/>
  <c r="D27" i="39" s="1"/>
  <c r="B26" i="39"/>
  <c r="D2" i="37"/>
  <c r="D3" i="37"/>
  <c r="D4" i="37"/>
  <c r="D5" i="37"/>
  <c r="D6" i="37"/>
  <c r="D10" i="35"/>
  <c r="J10" i="35"/>
  <c r="P10" i="35"/>
  <c r="V10" i="35"/>
  <c r="G3" i="34"/>
  <c r="J3" i="34"/>
  <c r="I3" i="34" s="1"/>
  <c r="G4" i="34"/>
  <c r="I4" i="34"/>
  <c r="J4" i="34"/>
  <c r="G5" i="34"/>
  <c r="H5" i="34"/>
  <c r="G6" i="34"/>
  <c r="J6" i="34"/>
  <c r="I6" i="34" s="1"/>
  <c r="G7" i="34"/>
  <c r="I7" i="34"/>
  <c r="J7" i="34"/>
  <c r="J8" i="34" s="1"/>
  <c r="I8" i="34" s="1"/>
  <c r="G8" i="34"/>
  <c r="H8" i="34"/>
  <c r="G9" i="34"/>
  <c r="J9" i="34"/>
  <c r="I9" i="34" s="1"/>
  <c r="G10" i="34"/>
  <c r="I10" i="34"/>
  <c r="J10" i="34"/>
  <c r="G11" i="34"/>
  <c r="H11" i="34"/>
  <c r="G12" i="34"/>
  <c r="J12" i="34"/>
  <c r="I12" i="34" s="1"/>
  <c r="G13" i="34"/>
  <c r="I13" i="34"/>
  <c r="J13" i="34"/>
  <c r="G14" i="34"/>
  <c r="H14" i="34"/>
  <c r="B24" i="33"/>
  <c r="C24" i="33"/>
  <c r="D24" i="33"/>
  <c r="J11" i="34" l="1"/>
  <c r="I11" i="34" s="1"/>
  <c r="J5" i="34"/>
  <c r="I5" i="34" s="1"/>
  <c r="J14" i="34"/>
  <c r="I14" i="34" s="1"/>
  <c r="D20" i="27"/>
  <c r="E20" i="5"/>
  <c r="D20" i="5"/>
  <c r="C20" i="5"/>
  <c r="B20" i="5"/>
  <c r="E22" i="4"/>
  <c r="D22" i="4"/>
  <c r="C22" i="4"/>
  <c r="B22" i="4"/>
  <c r="D20" i="1"/>
  <c r="C20" i="1"/>
  <c r="B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Rabih El Habta</author>
  </authors>
  <commentList>
    <comment ref="B3" authorId="0" shapeId="0" xr:uid="{4BEDD8A6-D524-4C02-93B5-5989B057CE43}">
      <text>
        <r>
          <rPr>
            <b/>
            <sz val="9"/>
            <color indexed="81"/>
            <rFont val="Tahoma"/>
            <family val="2"/>
          </rPr>
          <t>Natural
Sciences.
Mathematics
and Statistics
programmes</t>
        </r>
      </text>
    </comment>
    <comment ref="C3" authorId="0" shapeId="0" xr:uid="{BBD13EF8-AAF3-459C-B324-179576ACD637}">
      <text>
        <r>
          <rPr>
            <sz val="9"/>
            <color indexed="81"/>
            <rFont val="Tahoma"/>
            <family val="2"/>
          </rPr>
          <t>Information and Communication Technologies programmes</t>
        </r>
      </text>
    </comment>
    <comment ref="D3" authorId="0" shapeId="0" xr:uid="{38CD576D-59D3-4120-A76A-25A9435B06DD}">
      <text>
        <r>
          <rPr>
            <b/>
            <sz val="9"/>
            <color indexed="81"/>
            <rFont val="Tahoma"/>
            <family val="2"/>
          </rPr>
          <t>Engineering, Manufacturing and Construction  programmes</t>
        </r>
        <r>
          <rPr>
            <sz val="9"/>
            <color indexed="81"/>
            <rFont val="Tahoma"/>
            <family val="2"/>
          </rPr>
          <t xml:space="preserve">
</t>
        </r>
      </text>
    </comment>
    <comment ref="E3" authorId="0" shapeId="0" xr:uid="{6AD9C209-5A7B-46B8-8163-42FE58BED6C8}">
      <text>
        <r>
          <rPr>
            <sz val="9"/>
            <color indexed="81"/>
            <rFont val="Tahoma"/>
            <family val="2"/>
          </rPr>
          <t xml:space="preserve">
Natural
Sciences.
Mathematics
and Statistics
programmes</t>
        </r>
      </text>
    </comment>
    <comment ref="F3" authorId="0" shapeId="0" xr:uid="{423F7CDA-795A-4D72-9483-4F8299AA752F}">
      <text>
        <r>
          <rPr>
            <sz val="9"/>
            <color indexed="81"/>
            <rFont val="Tahoma"/>
            <family val="2"/>
          </rPr>
          <t>Information and Communication Technologies programmes</t>
        </r>
      </text>
    </comment>
    <comment ref="G3" authorId="0" shapeId="0" xr:uid="{F14F9E78-2FA5-4B9B-B10D-93A13D0586E5}">
      <text>
        <r>
          <rPr>
            <b/>
            <sz val="9"/>
            <color indexed="81"/>
            <rFont val="Tahoma"/>
            <family val="2"/>
          </rPr>
          <t>Engineering, Manufacturing and Construction  programmes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2" authorId="0" shapeId="0" xr:uid="{59DB4726-0E8D-4F3D-9188-7A130FFFDC84}">
      <text>
        <r>
          <rPr>
            <sz val="11"/>
            <color theme="1"/>
            <rFont val="Aptos Narrow"/>
            <family val="2"/>
            <scheme val="minor"/>
          </rPr>
          <t>The period of time for which data are provided: 2016-2022</t>
        </r>
      </text>
    </comment>
    <comment ref="J3" authorId="0" shapeId="0" xr:uid="{6AA48830-6653-4B54-B495-BBB19A998EA6}">
      <text>
        <r>
          <rPr>
            <sz val="11"/>
            <color theme="1"/>
            <rFont val="Aptos Narrow"/>
            <family val="2"/>
            <scheme val="minor"/>
          </rPr>
          <t>The period of time for which data are provided: 2022</t>
        </r>
      </text>
    </comment>
    <comment ref="J4" authorId="0" shapeId="0" xr:uid="{4D77DCE2-2277-4088-8F73-9EFB700941B3}">
      <text>
        <r>
          <rPr>
            <sz val="11"/>
            <color theme="1"/>
            <rFont val="Aptos Narrow"/>
            <family val="2"/>
            <scheme val="minor"/>
          </rPr>
          <t>The period of time for which data are provided: 2022</t>
        </r>
      </text>
    </comment>
    <comment ref="J5" authorId="0" shapeId="0" xr:uid="{014618E1-0218-4767-9042-C0C645D60188}">
      <text>
        <r>
          <rPr>
            <sz val="11"/>
            <color theme="1"/>
            <rFont val="Aptos Narrow"/>
            <family val="2"/>
            <scheme val="minor"/>
          </rPr>
          <t>The period of time for which data are provided: 2022</t>
        </r>
      </text>
    </comment>
    <comment ref="J6" authorId="0" shapeId="0" xr:uid="{F507F847-F22D-4D3D-A3E0-4F3A0A9CC4C5}">
      <text>
        <r>
          <rPr>
            <sz val="11"/>
            <color theme="1"/>
            <rFont val="Aptos Narrow"/>
            <family val="2"/>
            <scheme val="minor"/>
          </rPr>
          <t>The period of time for which data are provided: 2022</t>
        </r>
      </text>
    </comment>
    <comment ref="J7" authorId="0" shapeId="0" xr:uid="{95864840-2140-4406-A4B5-DF989416E08F}">
      <text>
        <r>
          <rPr>
            <sz val="11"/>
            <color theme="1"/>
            <rFont val="Aptos Narrow"/>
            <family val="2"/>
            <scheme val="minor"/>
          </rPr>
          <t>The period of time for which data are provided: 2022</t>
        </r>
      </text>
    </comment>
    <comment ref="J8" authorId="0" shapeId="0" xr:uid="{6171BDE6-8175-49A4-A918-A28EAB9E9F07}">
      <text>
        <r>
          <rPr>
            <sz val="11"/>
            <color theme="1"/>
            <rFont val="Aptos Narrow"/>
            <family val="2"/>
            <scheme val="minor"/>
          </rPr>
          <t>The period of time for which data are provided: 2022</t>
        </r>
      </text>
    </comment>
    <comment ref="J9" authorId="0" shapeId="0" xr:uid="{818BE5F8-6650-47DF-993A-5D9BE77BAEF6}">
      <text>
        <r>
          <rPr>
            <sz val="11"/>
            <color theme="1"/>
            <rFont val="Aptos Narrow"/>
            <family val="2"/>
            <scheme val="minor"/>
          </rPr>
          <t>The period of time for which data are provided: 2022</t>
        </r>
      </text>
    </comment>
    <comment ref="J10" authorId="0" shapeId="0" xr:uid="{9D126F1E-B48D-4945-8902-4C8F3043D5E2}">
      <text>
        <r>
          <rPr>
            <sz val="11"/>
            <color theme="1"/>
            <rFont val="Aptos Narrow"/>
            <family val="2"/>
            <scheme val="minor"/>
          </rPr>
          <t>The period of time for which data are provided: 2022</t>
        </r>
      </text>
    </comment>
  </commentList>
</comments>
</file>

<file path=xl/sharedStrings.xml><?xml version="1.0" encoding="utf-8"?>
<sst xmlns="http://schemas.openxmlformats.org/spreadsheetml/2006/main" count="5938" uniqueCount="760">
  <si>
    <t>Content</t>
  </si>
  <si>
    <t>Science, Technology, Engineering, and Mathematics (STEM)</t>
  </si>
  <si>
    <t>Female</t>
  </si>
  <si>
    <t>Male</t>
  </si>
  <si>
    <t>Area Name</t>
  </si>
  <si>
    <t>Sceince &amp; Mathematics</t>
  </si>
  <si>
    <t>ICT</t>
  </si>
  <si>
    <t>Manufacturing &amp; Engineering</t>
  </si>
  <si>
    <t>Algeria, 2023</t>
  </si>
  <si>
    <t>Bahrain, 2023</t>
  </si>
  <si>
    <t>Egypt, 2023</t>
  </si>
  <si>
    <t>Jordan, 2023</t>
  </si>
  <si>
    <t>Lebanon, 2011</t>
  </si>
  <si>
    <t>Mauritania, 2020</t>
  </si>
  <si>
    <t>Morocco, 2023</t>
  </si>
  <si>
    <t>Oman, 2023</t>
  </si>
  <si>
    <t>Palestine, 2023</t>
  </si>
  <si>
    <t>Qatar, 2023</t>
  </si>
  <si>
    <t>Saudi Arabia, 2022</t>
  </si>
  <si>
    <t>Sudan, 2015</t>
  </si>
  <si>
    <t>Syria, 2022</t>
  </si>
  <si>
    <t>Tunisia, 2023</t>
  </si>
  <si>
    <t>United Arab Emirates, 2020</t>
  </si>
  <si>
    <t>OECD average</t>
  </si>
  <si>
    <t xml:space="preserve">Arab average </t>
  </si>
  <si>
    <t>Source:</t>
  </si>
  <si>
    <t>Method of calculation</t>
  </si>
  <si>
    <t>Using Simple Average Method</t>
  </si>
  <si>
    <t>5.5.1 (a) Seats held by women in national parliaments (%)</t>
  </si>
  <si>
    <t>5.5.1 (b) Seats held by women in local governments (%)</t>
  </si>
  <si>
    <t>Women’s share of ministerial positions (%)</t>
  </si>
  <si>
    <t>United Arab Emirates</t>
  </si>
  <si>
    <t>Iraq</t>
  </si>
  <si>
    <t>Egypt</t>
  </si>
  <si>
    <t>Djibouti</t>
  </si>
  <si>
    <t>Morocco</t>
  </si>
  <si>
    <t>Mauritania</t>
  </si>
  <si>
    <t>Bahrain</t>
  </si>
  <si>
    <t>Saudi Arabia</t>
  </si>
  <si>
    <t>Somalia</t>
  </si>
  <si>
    <t>Comoros</t>
  </si>
  <si>
    <t>Libya</t>
  </si>
  <si>
    <t>Tunisia</t>
  </si>
  <si>
    <t>Jordan</t>
  </si>
  <si>
    <t>Syria</t>
  </si>
  <si>
    <t>Algeria</t>
  </si>
  <si>
    <t>Lebanon</t>
  </si>
  <si>
    <t>Qatar</t>
  </si>
  <si>
    <t>Kuwait</t>
  </si>
  <si>
    <t>Oman</t>
  </si>
  <si>
    <t>Sudan*</t>
  </si>
  <si>
    <t>Palestine</t>
  </si>
  <si>
    <t>Yemen</t>
  </si>
  <si>
    <t>Arab average</t>
  </si>
  <si>
    <t>Source</t>
  </si>
  <si>
    <t>IPU, “Women in National Parliaments” (situation as of 1st January 2024)</t>
  </si>
  <si>
    <r>
      <t>*2024 Council on Foreign Relations.</t>
    </r>
    <r>
      <rPr>
        <sz val="6"/>
        <color rgb="FFAFACAB"/>
        <rFont val="Times New Roman"/>
        <family val="1"/>
      </rPr>
      <t> </t>
    </r>
  </si>
  <si>
    <t>University enrollment</t>
  </si>
  <si>
    <t>Labour force participation</t>
  </si>
  <si>
    <t xml:space="preserve">Unemployment </t>
  </si>
  <si>
    <t>Share of firms with female top managers</t>
  </si>
  <si>
    <t>Share of firms with female participation in ownership</t>
  </si>
  <si>
    <t>Latin America and Caribbean</t>
  </si>
  <si>
    <t>Europe and Central Asia</t>
  </si>
  <si>
    <t>East Asia and Pacific</t>
  </si>
  <si>
    <t>Sub-Saharan Africa</t>
  </si>
  <si>
    <t>South Asia</t>
  </si>
  <si>
    <t>Arab Region</t>
  </si>
  <si>
    <r>
      <t>Source</t>
    </r>
    <r>
      <rPr>
        <sz val="11"/>
        <color theme="1"/>
        <rFont val="Aptos Narrow"/>
        <family val="2"/>
        <scheme val="minor"/>
      </rPr>
      <t>: World Development Indicators (WDI), latest available data (accessed October 2022).</t>
    </r>
  </si>
  <si>
    <r>
      <t>Note</t>
    </r>
    <r>
      <rPr>
        <sz val="11"/>
        <color theme="1"/>
        <rFont val="Aptos Narrow"/>
        <family val="2"/>
        <scheme val="minor"/>
      </rPr>
      <t>: Men's labor force participation rates are unequivocally higher than women's across all regions, with women's unemployment rates being higher or close to men's rates in all regions except East Asia and the Pacific. On the contrary, women show higher university enrollment rates than men across all regions but Sub-Saharan Africa.</t>
    </r>
  </si>
  <si>
    <t>Labour Force Worker with Advanced Education</t>
  </si>
  <si>
    <t>Unemployment Workers with Advanced Edcuation</t>
  </si>
  <si>
    <t>Algeria, 2017</t>
  </si>
  <si>
    <t>Comoros, 2021</t>
  </si>
  <si>
    <t>Djibouti, 2017</t>
  </si>
  <si>
    <t>Egypt, 2022</t>
  </si>
  <si>
    <t>Iraq, 2021</t>
  </si>
  <si>
    <t>Jordan, 2022</t>
  </si>
  <si>
    <t>Kuwait, 2016</t>
  </si>
  <si>
    <t>Lebanon, 2019</t>
  </si>
  <si>
    <t>Morocco, 2022</t>
  </si>
  <si>
    <t>Mauritania, 2019</t>
  </si>
  <si>
    <t>Oman, 2021</t>
  </si>
  <si>
    <t>Qatar, 2021</t>
  </si>
  <si>
    <t>Saudi Arabia, 2023</t>
  </si>
  <si>
    <t>Somalia, 2019</t>
  </si>
  <si>
    <t>Sudan, 2022</t>
  </si>
  <si>
    <t>United Arab Emirates, 2023</t>
  </si>
  <si>
    <t>Yemen, 2014</t>
  </si>
  <si>
    <t>Palestine, 2022</t>
  </si>
  <si>
    <t>Source: World Bank</t>
  </si>
  <si>
    <t>Female workers across all economic activity (%)</t>
  </si>
  <si>
    <t>Male workers across all economic activity (%)</t>
  </si>
  <si>
    <t>Share of female managers (%)</t>
  </si>
  <si>
    <t>Share of male managers (%)</t>
  </si>
  <si>
    <t>Bahrain, 2015</t>
  </si>
  <si>
    <t>Oman, 2022</t>
  </si>
  <si>
    <t>Qatar, 2022</t>
  </si>
  <si>
    <t>Tunisia, 2019</t>
  </si>
  <si>
    <t>Yemen, 2010</t>
  </si>
  <si>
    <t xml:space="preserve">Regional average </t>
  </si>
  <si>
    <t>Source: ILO</t>
  </si>
  <si>
    <t>Number</t>
  </si>
  <si>
    <t>Country</t>
  </si>
  <si>
    <t>TimePeriod</t>
  </si>
  <si>
    <t>Sudan</t>
  </si>
  <si>
    <t>Asia &amp; the Pacific</t>
  </si>
  <si>
    <t>Europe &amp; Central Asia</t>
  </si>
  <si>
    <t>Latin America &amp; Caribbean</t>
  </si>
  <si>
    <t>Southern Asia</t>
  </si>
  <si>
    <t>World</t>
  </si>
  <si>
    <t>Population below international poverty line, by sex</t>
  </si>
  <si>
    <t>Percent</t>
  </si>
  <si>
    <t>Region Name</t>
  </si>
  <si>
    <t>BOTHSEX</t>
  </si>
  <si>
    <t>FEMALE</t>
  </si>
  <si>
    <t>MALE</t>
  </si>
  <si>
    <t>Notes</t>
  </si>
  <si>
    <t>Nowcasted</t>
  </si>
  <si>
    <t>Arab Maghreb</t>
  </si>
  <si>
    <t>Arab Mashreq</t>
  </si>
  <si>
    <t>Arab LDC</t>
  </si>
  <si>
    <t>Population living below the national poverty line</t>
  </si>
  <si>
    <t>Total Population</t>
  </si>
  <si>
    <t>Conflict-affected countries (CAC)</t>
  </si>
  <si>
    <t>High-income countries (HIC)</t>
  </si>
  <si>
    <t>Low-income countries (LIC)</t>
  </si>
  <si>
    <t>Middle-income countries (MIC)</t>
  </si>
  <si>
    <t>Adult illiterate population, 15+ years, by sex</t>
  </si>
  <si>
    <t>Youth illiterate population, 15-24 years, by sex</t>
  </si>
  <si>
    <t>Source: UIS OPRI</t>
  </si>
  <si>
    <t>Proportion of population covered by at least one social protection benefit</t>
  </si>
  <si>
    <t>Proportion of children/households receiving child/family cash benefit</t>
  </si>
  <si>
    <t>Proportion of population with severe disabilities receiving disability cash benefit</t>
  </si>
  <si>
    <t>Proportion of mothers with newborns receiving maternity cash benefit</t>
  </si>
  <si>
    <t>Proportion of population above statutory pensionable age receiving a pension</t>
  </si>
  <si>
    <t>Proportion of unemployed persons receiving unemployment cash benefit</t>
  </si>
  <si>
    <t>Proportion of vulnerable population receiving social assistance cash benefit</t>
  </si>
  <si>
    <t>Proportion of employed population covered in the event of work injury</t>
  </si>
  <si>
    <t>Source: ILO and World Bank</t>
  </si>
  <si>
    <t>Vulnerable employment, by sex</t>
  </si>
  <si>
    <t>Source:FAO</t>
  </si>
  <si>
    <t>Undernourishment</t>
  </si>
  <si>
    <t>Number (in million)</t>
  </si>
  <si>
    <t>Arab GCC</t>
  </si>
  <si>
    <t>Population Suffering from Food Insecurity</t>
  </si>
  <si>
    <t>Sourcce: FAO</t>
  </si>
  <si>
    <t>Moderate or Severe</t>
  </si>
  <si>
    <t>Severe</t>
  </si>
  <si>
    <t>Age</t>
  </si>
  <si>
    <t>15+</t>
  </si>
  <si>
    <t>ALLAGE</t>
  </si>
  <si>
    <t>Source: FAO</t>
  </si>
  <si>
    <t>Women aged 15-49 years with anaemia</t>
  </si>
  <si>
    <t>All Women</t>
  </si>
  <si>
    <t>Pregnant Women</t>
  </si>
  <si>
    <t>Non Pregnant  Women</t>
  </si>
  <si>
    <t>Number (thousands)</t>
  </si>
  <si>
    <t>People unable to afford a healthy diet</t>
  </si>
  <si>
    <t>Number (Million)</t>
  </si>
  <si>
    <t>Note</t>
  </si>
  <si>
    <t>Estimated value</t>
  </si>
  <si>
    <t>Syrian Arab Republic</t>
  </si>
  <si>
    <t>Method of Calcualtion</t>
  </si>
  <si>
    <t>Sum</t>
  </si>
  <si>
    <t>Simple Average</t>
  </si>
  <si>
    <t>Exclusive Beast Feeding</t>
  </si>
  <si>
    <t>Value</t>
  </si>
  <si>
    <t>Weight</t>
  </si>
  <si>
    <t>Share of Weight</t>
  </si>
  <si>
    <t>Calculation method:</t>
  </si>
  <si>
    <t>Weighted Average using Female Population as Weight</t>
  </si>
  <si>
    <t>Maternal Mortality Deaths</t>
  </si>
  <si>
    <t>Ratio 
(per 100,000 women biths)</t>
  </si>
  <si>
    <t>WHO</t>
  </si>
  <si>
    <t>World Bank</t>
  </si>
  <si>
    <t>Calculation method</t>
  </si>
  <si>
    <t>Proportion of births attended by skilled health personnel</t>
  </si>
  <si>
    <t/>
  </si>
  <si>
    <t>Geographic area</t>
  </si>
  <si>
    <t>Indicator</t>
  </si>
  <si>
    <t>Sex</t>
  </si>
  <si>
    <t>Current age</t>
  </si>
  <si>
    <t>Age at Birth</t>
  </si>
  <si>
    <t>Wealth Quintile</t>
  </si>
  <si>
    <t>Residence</t>
  </si>
  <si>
    <t>Mother's Education Level</t>
  </si>
  <si>
    <t>Data Source</t>
  </si>
  <si>
    <t>Arab States</t>
  </si>
  <si>
    <t>Antenatal care 1+ visit - percentage of women (aged 15-49 years) attended at least once during pregnancy by skilled health personnel</t>
  </si>
  <si>
    <t>15 to 49 years old</t>
  </si>
  <si>
    <t>Total</t>
  </si>
  <si>
    <t>Urban</t>
  </si>
  <si>
    <t>Population weighted averages calculated by UNICEF using WPP2022 weights</t>
  </si>
  <si>
    <t>Antenatal care 4+ visits - percentage of women (aged 15-49 years) attended at least four times during pregnancy by any provider</t>
  </si>
  <si>
    <t>Rural</t>
  </si>
  <si>
    <t>Lowest</t>
  </si>
  <si>
    <t>Second</t>
  </si>
  <si>
    <t>Middle</t>
  </si>
  <si>
    <t>Fourth</t>
  </si>
  <si>
    <t>Highest</t>
  </si>
  <si>
    <t>Footnotes</t>
  </si>
  <si>
    <t>Unit multiplier: Units</t>
  </si>
  <si>
    <t>Unit of measure: %</t>
  </si>
  <si>
    <t>Sub Sector: ANTENATAL</t>
  </si>
  <si>
    <t>Data source priority: 1</t>
  </si>
  <si>
    <t>Observation Status: Reanalysed</t>
  </si>
  <si>
    <t>Observation confidentaility: Free</t>
  </si>
  <si>
    <t>Time period activity related to when the data are collected: End of fieldwork</t>
  </si>
  <si>
    <t>Proportion of women married or in a union of reproductive age (aged 15-49 years) who have their need for family planning satisfied with modern methods</t>
  </si>
  <si>
    <t>Source: DESA</t>
  </si>
  <si>
    <t>Adolescent birth rate (per 1,000  women)</t>
  </si>
  <si>
    <t>Aged 10-14</t>
  </si>
  <si>
    <t>Aged 15-19</t>
  </si>
  <si>
    <t>Children and young people achieving a minimum proficiency level</t>
  </si>
  <si>
    <t>Education level</t>
  </si>
  <si>
    <t>Type of skill</t>
  </si>
  <si>
    <t>Lower Secondary</t>
  </si>
  <si>
    <t>Math</t>
  </si>
  <si>
    <t>Read</t>
  </si>
  <si>
    <t>All</t>
  </si>
  <si>
    <t>Primary</t>
  </si>
  <si>
    <t>Basic</t>
  </si>
  <si>
    <t>Source: ESCWA Calculation based on data from SDG Global Database and UIS Enrollement Data</t>
  </si>
  <si>
    <t>LOWSEC</t>
  </si>
  <si>
    <t>PRIMAR</t>
  </si>
  <si>
    <t>Calculation method: simple average</t>
  </si>
  <si>
    <t>Completion rate</t>
  </si>
  <si>
    <t>Primary Education</t>
  </si>
  <si>
    <t>Lower Secondary Education</t>
  </si>
  <si>
    <t>Proportion of children aged 36 59 months who are developmentally on track</t>
  </si>
  <si>
    <t>Source: UNICEF</t>
  </si>
  <si>
    <t>Source World Bank</t>
  </si>
  <si>
    <t>Out-of-school children</t>
  </si>
  <si>
    <t>Education Level</t>
  </si>
  <si>
    <t>SECOND</t>
  </si>
  <si>
    <t>UPPSEC</t>
  </si>
  <si>
    <t>AGG_1_2</t>
  </si>
  <si>
    <t>Basic Education</t>
  </si>
  <si>
    <t>AGG_1_3</t>
  </si>
  <si>
    <t>Source: ESCWA Calculation based on World Bank</t>
  </si>
  <si>
    <t>Education</t>
  </si>
  <si>
    <t>Location</t>
  </si>
  <si>
    <t>Quantile</t>
  </si>
  <si>
    <t>ALLAREA</t>
  </si>
  <si>
    <t>Q1</t>
  </si>
  <si>
    <t>Q2</t>
  </si>
  <si>
    <t>Q3</t>
  </si>
  <si>
    <t>Q4</t>
  </si>
  <si>
    <t>Q5</t>
  </si>
  <si>
    <t>RURAL</t>
  </si>
  <si>
    <t>URBAN</t>
  </si>
  <si>
    <t>Legal frameworks that promote, enforce and monitor gender equality -- Area 3: employment and economic benefits</t>
  </si>
  <si>
    <t>Proportion of ever-partnered women and girls subjected to any form of violence by a current or former intimate partner in the previous 12 months, by age (%)</t>
  </si>
  <si>
    <t>15-49</t>
  </si>
  <si>
    <t>Source: UNSD Global Database</t>
  </si>
  <si>
    <t>Women aged 20-24 years who were married or in a union before age 18</t>
  </si>
  <si>
    <t>Proportion of girls and women aged 15-19 years who have undergone FGM</t>
  </si>
  <si>
    <t>Source: IPU</t>
  </si>
  <si>
    <t>Seat in National Parliaments</t>
  </si>
  <si>
    <t>Total Seats</t>
  </si>
  <si>
    <t>Seats held by Women</t>
  </si>
  <si>
    <t>%</t>
  </si>
  <si>
    <t>Source: UN Women</t>
  </si>
  <si>
    <t>Proportion of elected seats held by women in deliberative bodies of local government</t>
  </si>
  <si>
    <t>Women in managerial positions</t>
  </si>
  <si>
    <t>Women Managers
(Thousands)</t>
  </si>
  <si>
    <t>Total Managers
(Thousands)</t>
  </si>
  <si>
    <t>Share 
of Women Managers</t>
  </si>
  <si>
    <t>Source: ITU</t>
  </si>
  <si>
    <t>Individuals owning a mobile phone</t>
  </si>
  <si>
    <t>Individuals not owning a mobile phone</t>
  </si>
  <si>
    <t>WASH deaths in 2019</t>
  </si>
  <si>
    <t>Source: WHO</t>
  </si>
  <si>
    <t>Lack Access</t>
  </si>
  <si>
    <t>Have Access</t>
  </si>
  <si>
    <t>Service Type</t>
  </si>
  <si>
    <t>Population</t>
  </si>
  <si>
    <t>**Calculations**:</t>
  </si>
  <si>
    <t>1.4.1</t>
  </si>
  <si>
    <t>basic drink</t>
  </si>
  <si>
    <t>-----------------------</t>
  </si>
  <si>
    <t>Rural population (2022): 187,930,334</t>
  </si>
  <si>
    <t>Urban population (2022): 276,754,580</t>
  </si>
  <si>
    <t>basic sanitation</t>
  </si>
  <si>
    <t>Total population (2022): 464,684,914</t>
  </si>
  <si>
    <t>-------------------------</t>
  </si>
  <si>
    <t>Rural (lack basic water 20%): 37,586,067    (one in five)</t>
  </si>
  <si>
    <t>6.1.1</t>
  </si>
  <si>
    <t>safely managed drink</t>
  </si>
  <si>
    <t>Urban (last basic water 4.8%): 13,284,220    (one in twenty)</t>
  </si>
  <si>
    <r>
      <t xml:space="preserve">Share rural/total= 73.9 % </t>
    </r>
    <r>
      <rPr>
        <sz val="11"/>
        <color rgb="FF77206D"/>
        <rFont val="Wingdings"/>
        <charset val="2"/>
      </rPr>
      <t>à</t>
    </r>
    <r>
      <rPr>
        <sz val="11"/>
        <color rgb="FF77206D"/>
        <rFont val="Aptos"/>
        <family val="2"/>
      </rPr>
      <t xml:space="preserve"> three-fourth</t>
    </r>
  </si>
  <si>
    <r>
      <t xml:space="preserve">Share urban total= 26.1 % </t>
    </r>
    <r>
      <rPr>
        <sz val="11"/>
        <color rgb="FF77206D"/>
        <rFont val="Wingdings"/>
        <charset val="2"/>
      </rPr>
      <t>à</t>
    </r>
    <r>
      <rPr>
        <sz val="11"/>
        <color rgb="FF77206D"/>
        <rFont val="Aptos"/>
        <family val="2"/>
      </rPr>
      <t xml:space="preserve"> one-fourth</t>
    </r>
  </si>
  <si>
    <t>6.2.1</t>
  </si>
  <si>
    <t>safely managed sanitation</t>
  </si>
  <si>
    <t>Rural (lack basic sanitation 18.4%): 34,579,181   (one in five)</t>
  </si>
  <si>
    <t>Urban (lack basic sanitation 5.9%): 16,328,520    (one in seventeen)</t>
  </si>
  <si>
    <r>
      <t>Share rural/total= 67.9 %</t>
    </r>
    <r>
      <rPr>
        <sz val="11"/>
        <color rgb="FF77206D"/>
        <rFont val="Wingdings"/>
        <charset val="2"/>
      </rPr>
      <t>à</t>
    </r>
    <r>
      <rPr>
        <sz val="11"/>
        <color rgb="FF77206D"/>
        <rFont val="Aptos"/>
        <family val="2"/>
      </rPr>
      <t xml:space="preserve"> two-third</t>
    </r>
  </si>
  <si>
    <t>Source: ESCWA Calculation based on UNICEF Data</t>
  </si>
  <si>
    <r>
      <t xml:space="preserve">Share urban/total =32.1 % </t>
    </r>
    <r>
      <rPr>
        <sz val="11"/>
        <color rgb="FF77206D"/>
        <rFont val="Wingdings"/>
        <charset val="2"/>
      </rPr>
      <t>à</t>
    </r>
    <r>
      <rPr>
        <sz val="11"/>
        <color rgb="FF77206D"/>
        <rFont val="Aptos"/>
        <family val="2"/>
      </rPr>
      <t xml:space="preserve"> One-third</t>
    </r>
  </si>
  <si>
    <t>--------------------------</t>
  </si>
  <si>
    <t>Total (lack safely managed water 24.9%): 115,706,544   (one in four)</t>
  </si>
  <si>
    <t>Urban (lack safely managed water 19.8%):  54,797,407  (one in five)</t>
  </si>
  <si>
    <t xml:space="preserve">By deduction </t>
  </si>
  <si>
    <t>Rural (lack safely managed water --%): 60,909,137</t>
  </si>
  <si>
    <r>
      <t xml:space="preserve">Share rural/total = 52.6% </t>
    </r>
    <r>
      <rPr>
        <sz val="11"/>
        <color rgb="FF77206D"/>
        <rFont val="Wingdings"/>
        <charset val="2"/>
      </rPr>
      <t>à</t>
    </r>
    <r>
      <rPr>
        <sz val="11"/>
        <color rgb="FF77206D"/>
        <rFont val="Aptos"/>
        <family val="2"/>
      </rPr>
      <t xml:space="preserve"> half</t>
    </r>
  </si>
  <si>
    <r>
      <t xml:space="preserve">Share urban/total =47.4% </t>
    </r>
    <r>
      <rPr>
        <sz val="11"/>
        <color rgb="FF77206D"/>
        <rFont val="Wingdings"/>
        <charset val="2"/>
      </rPr>
      <t>à</t>
    </r>
    <r>
      <rPr>
        <sz val="11"/>
        <color rgb="FF77206D"/>
        <rFont val="Aptos"/>
        <family val="2"/>
      </rPr>
      <t xml:space="preserve"> nearly half</t>
    </r>
  </si>
  <si>
    <t>By deduction % of rural without access to safely water services is (60,909,137/ 187,930,334*100)=32.4%  (one in three)</t>
  </si>
  <si>
    <t>---------------------------</t>
  </si>
  <si>
    <t>Rural (lack improved sanitation 47.7%): 89,154,150 (nearly one in two)</t>
  </si>
  <si>
    <t>Urban (lack improved sanitation 34.4%): 95,203,576    (one in three)</t>
  </si>
  <si>
    <r>
      <t>Share rural/total= 48.36 %</t>
    </r>
    <r>
      <rPr>
        <sz val="11"/>
        <color rgb="FF77206D"/>
        <rFont val="Wingdings"/>
        <charset val="2"/>
      </rPr>
      <t>à</t>
    </r>
    <r>
      <rPr>
        <sz val="11"/>
        <color rgb="FF77206D"/>
        <rFont val="Aptos"/>
        <family val="2"/>
      </rPr>
      <t xml:space="preserve"> nearly half</t>
    </r>
  </si>
  <si>
    <r>
      <t xml:space="preserve">Share urban/total = 51.64% </t>
    </r>
    <r>
      <rPr>
        <sz val="11"/>
        <color rgb="FF77206D"/>
        <rFont val="Wingdings"/>
        <charset val="2"/>
      </rPr>
      <t>à</t>
    </r>
    <r>
      <rPr>
        <sz val="11"/>
        <color rgb="FF77206D"/>
        <rFont val="Aptos"/>
        <family val="2"/>
      </rPr>
      <t xml:space="preserve"> half</t>
    </r>
  </si>
  <si>
    <t>Total lack improved sanitation 184,357,726</t>
  </si>
  <si>
    <t>Source UNICEF</t>
  </si>
  <si>
    <t>Access to Basic Drinking Water Service</t>
  </si>
  <si>
    <t>Access to Basic Sanitation Services</t>
  </si>
  <si>
    <t>Access to Safely Managed Drinking Water Service</t>
  </si>
  <si>
    <t>Access to Safely Managed Sanitation Services</t>
  </si>
  <si>
    <t>Proportion of population with basic handwashing facilities on premises</t>
  </si>
  <si>
    <t>Note: Data does not add up to 100% as not all households harvest water and data for some households is not available.</t>
  </si>
  <si>
    <t>Number of People Collection Water, by location</t>
  </si>
  <si>
    <t>Forecasted</t>
  </si>
  <si>
    <t>Source: WASH JMP &amp; ESCWA Forecast</t>
  </si>
  <si>
    <t>Population With Access to Electricity, by location (2022)</t>
  </si>
  <si>
    <t>-</t>
  </si>
  <si>
    <t>Arab Region (without Access)</t>
  </si>
  <si>
    <t>Total Arab Population</t>
  </si>
  <si>
    <t>Population with primary reliance on fuels and technologies for cooking by fuel type (in million)</t>
  </si>
  <si>
    <t>Biomass</t>
  </si>
  <si>
    <t>Charcoal</t>
  </si>
  <si>
    <t>Coal</t>
  </si>
  <si>
    <t>Electricity</t>
  </si>
  <si>
    <t>Gas</t>
  </si>
  <si>
    <t>Kerosene</t>
  </si>
  <si>
    <t>Source https://www.who.int/data/gho/data/indicators/indicator details/GHO/population with primary reliance on fuels and technologies for cooking by fuel type</t>
  </si>
  <si>
    <t>Calculation Method</t>
  </si>
  <si>
    <t>Proportion of population with primary reliance on clean fuels and technology</t>
  </si>
  <si>
    <t>Number of Household air pollution attributable deaths</t>
  </si>
  <si>
    <t>Time Period</t>
  </si>
  <si>
    <t>Cause of Death</t>
  </si>
  <si>
    <t>Acute lower respiratory infections</t>
  </si>
  <si>
    <t>Chronic obstructive pulmonary disease</t>
  </si>
  <si>
    <t>Ischaemic heart diseasee</t>
  </si>
  <si>
    <t>Stroke</t>
  </si>
  <si>
    <t>Trachea, bronchus, lung cancers</t>
  </si>
  <si>
    <t>https://www.who.int/data/gho/data/indicators/indicator details/GHO/household air pollution attributable deaths</t>
  </si>
  <si>
    <t>Contributing Family Workers</t>
  </si>
  <si>
    <t>Self-Employed</t>
  </si>
  <si>
    <t>Informal employment by sex</t>
  </si>
  <si>
    <t>Unemployment by sex and age</t>
  </si>
  <si>
    <t>15-24</t>
  </si>
  <si>
    <t>25+</t>
  </si>
  <si>
    <t>Youth (15-24) not in employment, education or training (NEET) by sex</t>
  </si>
  <si>
    <t>Proportion of adults with an account at a financial institution or mobile-money-service provider</t>
  </si>
  <si>
    <t>prime age 25-54 living with children below 6 years of age</t>
  </si>
  <si>
    <t>Household type</t>
  </si>
  <si>
    <t>Presence of children under age 6: No</t>
  </si>
  <si>
    <t>Presence of children under age 6: Yes</t>
  </si>
  <si>
    <t>Presence of children under age 6: Total</t>
  </si>
  <si>
    <t>Source: ESCWA Calculation based on ILO data</t>
  </si>
  <si>
    <t xml:space="preserve">Employment by sex and economic activity </t>
  </si>
  <si>
    <t>PctActFEMALE</t>
  </si>
  <si>
    <t>PctActMALE</t>
  </si>
  <si>
    <t>Activity</t>
  </si>
  <si>
    <t>Agriculture</t>
  </si>
  <si>
    <t>Industry</t>
  </si>
  <si>
    <t>Services</t>
  </si>
  <si>
    <t>Share of Women Inventors</t>
  </si>
  <si>
    <t>Arab region</t>
  </si>
  <si>
    <t>Intellectual property right :PCT</t>
  </si>
  <si>
    <t>Source: WIPO statistics database. Last updated: October 2024</t>
  </si>
  <si>
    <t>Manufacturing Employment</t>
  </si>
  <si>
    <t>Manufacturing</t>
  </si>
  <si>
    <t>Percent of Female Researchers of Total Researchers</t>
  </si>
  <si>
    <t>Proportion of population covered by a mobile network, by technology</t>
  </si>
  <si>
    <t>2G</t>
  </si>
  <si>
    <t>3G</t>
  </si>
  <si>
    <t>4G</t>
  </si>
  <si>
    <t>Proportion of population reporting having felt discriminated against, by grounds of discrimination, sex and disability (%)</t>
  </si>
  <si>
    <t>ALL</t>
  </si>
  <si>
    <t>Marital and family status</t>
  </si>
  <si>
    <t>Political opinion</t>
  </si>
  <si>
    <t>Religion or belief</t>
  </si>
  <si>
    <t>Ethnicity, colour, language</t>
  </si>
  <si>
    <t>Ethnic or immigration status</t>
  </si>
  <si>
    <t>Ethnic or migration origin</t>
  </si>
  <si>
    <t>Disability</t>
  </si>
  <si>
    <t>Disability or health status</t>
  </si>
  <si>
    <t>Geographic location</t>
  </si>
  <si>
    <t>Language  or dialect</t>
  </si>
  <si>
    <t>Colour</t>
  </si>
  <si>
    <t>Sexual orientation</t>
  </si>
  <si>
    <t>Socioeconomic status</t>
  </si>
  <si>
    <t>Other</t>
  </si>
  <si>
    <t>Source: SDG Global Database</t>
  </si>
  <si>
    <t>Forcibly displaced people</t>
  </si>
  <si>
    <t>Population Type</t>
  </si>
  <si>
    <t>Arab</t>
  </si>
  <si>
    <t>Internally displaced persons (source IDMC)</t>
  </si>
  <si>
    <t>Refugee and People in refugee-like situation</t>
  </si>
  <si>
    <t>Refugees under UNRWA mandate</t>
  </si>
  <si>
    <t>Asylum-seekers</t>
  </si>
  <si>
    <t>Others of concern</t>
  </si>
  <si>
    <t>Other people in need of international protection</t>
  </si>
  <si>
    <t>Source: UNHCR &amp; UNRWA</t>
  </si>
  <si>
    <t>Calculation method: Sum</t>
  </si>
  <si>
    <t>Gender income gap</t>
  </si>
  <si>
    <t>https://ilostat.ilo.org/topics/labour-income/</t>
  </si>
  <si>
    <t>Population Living in Slums</t>
  </si>
  <si>
    <t>Number (Thousand)</t>
  </si>
  <si>
    <t>Population exposed to land degragation in the Arab Region</t>
  </si>
  <si>
    <t>Calculation method sum and simple average</t>
  </si>
  <si>
    <t>Gender Gap</t>
  </si>
  <si>
    <t>Egypt, 2021</t>
  </si>
  <si>
    <t>Sudan, 2018</t>
  </si>
  <si>
    <t>Kuwait, 2017</t>
  </si>
  <si>
    <t>Mauritania, 2017</t>
  </si>
  <si>
    <t>Algeria, 2020</t>
  </si>
  <si>
    <t>Syria, 2020</t>
  </si>
  <si>
    <t>Lebanon, 2021</t>
  </si>
  <si>
    <t>Oman, 2020</t>
  </si>
  <si>
    <t>Iraq, 2020</t>
  </si>
  <si>
    <t>UAE, 2020</t>
  </si>
  <si>
    <t>Tunisia, 2020</t>
  </si>
  <si>
    <t>Morocco, 2021</t>
  </si>
  <si>
    <t>Jordan, 2021</t>
  </si>
  <si>
    <t>Bahrain, 2021</t>
  </si>
  <si>
    <t>Saudi Arabia, 2020</t>
  </si>
  <si>
    <t>Proportions of positions in the public service compared to national distributions (ratio)</t>
  </si>
  <si>
    <t>Source: UNDP</t>
  </si>
  <si>
    <t>Fixed broadband subscriptions per 100 inhabitants</t>
  </si>
  <si>
    <t>Internet users per 100 inhabitants</t>
  </si>
  <si>
    <t>Number of People Without Access to Internet</t>
  </si>
  <si>
    <t>Children and young people Not achieving a minimum proficiency level</t>
  </si>
  <si>
    <t>ILO Conventions</t>
  </si>
  <si>
    <r>
      <t xml:space="preserve">No. 100 on </t>
    </r>
    <r>
      <rPr>
        <b/>
        <sz val="9"/>
        <color theme="1"/>
        <rFont val="Aptos Narrow"/>
        <family val="2"/>
        <scheme val="minor"/>
      </rPr>
      <t>equal remuneration</t>
    </r>
    <r>
      <rPr>
        <sz val="9"/>
        <color theme="1"/>
        <rFont val="Aptos Narrow"/>
        <family val="2"/>
        <scheme val="minor"/>
      </rPr>
      <t xml:space="preserve"> (1951)</t>
    </r>
  </si>
  <si>
    <r>
      <t xml:space="preserve">No. 111 on </t>
    </r>
    <r>
      <rPr>
        <b/>
        <sz val="9"/>
        <color theme="1"/>
        <rFont val="Aptos Narrow"/>
        <family val="2"/>
        <scheme val="minor"/>
      </rPr>
      <t>discrimination</t>
    </r>
    <r>
      <rPr>
        <sz val="9"/>
        <color theme="1"/>
        <rFont val="Aptos Narrow"/>
        <family val="2"/>
        <scheme val="minor"/>
      </rPr>
      <t xml:space="preserve"> (employment and occupation) (1958)</t>
    </r>
  </si>
  <si>
    <r>
      <t xml:space="preserve">No. 156 on </t>
    </r>
    <r>
      <rPr>
        <b/>
        <sz val="9"/>
        <color theme="1"/>
        <rFont val="Aptos Narrow"/>
        <family val="2"/>
        <scheme val="minor"/>
      </rPr>
      <t>workers with family responsibilities</t>
    </r>
    <r>
      <rPr>
        <sz val="9"/>
        <color theme="1"/>
        <rFont val="Aptos Narrow"/>
        <family val="2"/>
        <scheme val="minor"/>
      </rPr>
      <t xml:space="preserve"> (1981)</t>
    </r>
  </si>
  <si>
    <r>
      <t xml:space="preserve">No. 175 on </t>
    </r>
    <r>
      <rPr>
        <b/>
        <sz val="9"/>
        <color theme="1"/>
        <rFont val="Aptos Narrow"/>
        <family val="2"/>
        <scheme val="minor"/>
      </rPr>
      <t>part-time work</t>
    </r>
    <r>
      <rPr>
        <sz val="9"/>
        <color theme="1"/>
        <rFont val="Aptos Narrow"/>
        <family val="2"/>
        <scheme val="minor"/>
      </rPr>
      <t xml:space="preserve"> (1994)</t>
    </r>
  </si>
  <si>
    <r>
      <t xml:space="preserve">No. 177 on </t>
    </r>
    <r>
      <rPr>
        <b/>
        <sz val="9"/>
        <color theme="1"/>
        <rFont val="Aptos Narrow"/>
        <family val="2"/>
        <scheme val="minor"/>
      </rPr>
      <t>home work</t>
    </r>
    <r>
      <rPr>
        <sz val="9"/>
        <color theme="1"/>
        <rFont val="Aptos Narrow"/>
        <family val="2"/>
        <scheme val="minor"/>
      </rPr>
      <t xml:space="preserve"> (1996)</t>
    </r>
  </si>
  <si>
    <r>
      <t xml:space="preserve">No. 183 on </t>
    </r>
    <r>
      <rPr>
        <b/>
        <sz val="9"/>
        <color theme="1"/>
        <rFont val="Aptos Narrow"/>
        <family val="2"/>
        <scheme val="minor"/>
      </rPr>
      <t>maternity protection</t>
    </r>
    <r>
      <rPr>
        <sz val="9"/>
        <color theme="1"/>
        <rFont val="Aptos Narrow"/>
        <family val="2"/>
        <scheme val="minor"/>
      </rPr>
      <t xml:space="preserve"> (2000)</t>
    </r>
  </si>
  <si>
    <t>Updated</t>
  </si>
  <si>
    <t>Not ratified</t>
  </si>
  <si>
    <t>Not applicable (Non-member observer State)</t>
  </si>
  <si>
    <t>16 countries</t>
  </si>
  <si>
    <t>20 countries</t>
  </si>
  <si>
    <t>1 country</t>
  </si>
  <si>
    <t>2 countries</t>
  </si>
  <si>
    <t>Basic drinking water</t>
  </si>
  <si>
    <t>Basic sanitation</t>
  </si>
  <si>
    <t>Safe drinking water</t>
  </si>
  <si>
    <t>Safe sanitation</t>
  </si>
  <si>
    <t>Year</t>
  </si>
  <si>
    <t>Female illiterate</t>
  </si>
  <si>
    <t>Female adult unemployed</t>
  </si>
  <si>
    <t>Female vulnerable employment</t>
  </si>
  <si>
    <t>Population living in slums</t>
  </si>
  <si>
    <t>Maternal mortality ratio (PER_100,000_LIVE_BIRTHS)</t>
  </si>
  <si>
    <t>Proportion of births attended by skilled health personnel (%)</t>
  </si>
  <si>
    <t>m</t>
  </si>
  <si>
    <t>Population with access to electricity (%)</t>
  </si>
  <si>
    <t>Sub-region</t>
  </si>
  <si>
    <t>Age-standardized mortality rate attributed to household and ambient air pollution (PER_100000_POP)</t>
  </si>
  <si>
    <t>Proportion of population with primary reliance on clean fuels and technology (%)</t>
  </si>
  <si>
    <t>Quotas for women in national parliaments to promote greater participation of women in politics</t>
  </si>
  <si>
    <t>World average</t>
  </si>
  <si>
    <t>Seats held by women in national parliaments (%)</t>
  </si>
  <si>
    <t>Proportion of mothers with newborns receiving maternity cash benefit (%)</t>
  </si>
  <si>
    <t>Proportion of population below international poverty line (%)</t>
  </si>
  <si>
    <t>Data</t>
  </si>
  <si>
    <t>no law</t>
  </si>
  <si>
    <t>Law</t>
  </si>
  <si>
    <t>Central &amp; South Asia</t>
  </si>
  <si>
    <t>East &amp; South-East Asia</t>
  </si>
  <si>
    <t>Europe &amp; North America</t>
  </si>
  <si>
    <t>North Africa &amp; West Asia</t>
  </si>
  <si>
    <t>Oceania</t>
  </si>
  <si>
    <t>Constitution refers to gender equality or non-discrimination</t>
  </si>
  <si>
    <t>There are comprehensive anti-trafficking laws with
punitive, protective, and preventive measures</t>
  </si>
  <si>
    <t>Domestic workers are covered by the labour code and have substantial legal protections from exploitation and abuse</t>
  </si>
  <si>
    <t>UAE</t>
  </si>
  <si>
    <t>https://www.worldpolicycenter.org/constitutional-equal-rights-across-gender-and-sex</t>
  </si>
  <si>
    <t>https://www.warnathgroup.com/laws/</t>
  </si>
  <si>
    <t>Palestine, 2019</t>
  </si>
  <si>
    <t>Adolescent birth rate</t>
  </si>
  <si>
    <t>Before 15 (%)</t>
  </si>
  <si>
    <t>Before 18 (%)</t>
  </si>
  <si>
    <t>Sector</t>
  </si>
  <si>
    <t>COPA</t>
  </si>
  <si>
    <t>EMAIL</t>
  </si>
  <si>
    <t>Internet use</t>
  </si>
  <si>
    <t>Mobile phone ownership</t>
  </si>
  <si>
    <t>Lack of access to basic handwashing (%), 2022</t>
  </si>
  <si>
    <t>Female mortality rate attributed to unsafe water, unsafe sanitation and lack of hygiene (PER_100000_POP), 2019</t>
  </si>
  <si>
    <t>Lack of access to safe sanitation (%), 2022</t>
  </si>
  <si>
    <t>Lack of access to safe drinking water (%), 2022</t>
  </si>
  <si>
    <t>Lack of access to basic sanitation (%), 2022</t>
  </si>
  <si>
    <t>Lack of access to basic drinking water (%), 2022</t>
  </si>
  <si>
    <t>Lebanon, 1998</t>
  </si>
  <si>
    <t>Tunisia, 2005</t>
  </si>
  <si>
    <t>Egypt, 1999</t>
  </si>
  <si>
    <t>Morocco, 1996</t>
  </si>
  <si>
    <t>Algeria, 2001</t>
  </si>
  <si>
    <t>Jordan, 1997</t>
  </si>
  <si>
    <t>Moderate or Severe Food Insecurity</t>
  </si>
  <si>
    <t>Egypt, 2016</t>
  </si>
  <si>
    <t>Algeria, 2018</t>
  </si>
  <si>
    <t>Iraq, 2022</t>
  </si>
  <si>
    <t>Qatar, 2020</t>
  </si>
  <si>
    <t>Kuwait, 2021</t>
  </si>
  <si>
    <t>United Arab Emirates, 2022</t>
  </si>
  <si>
    <t>UN-HABITAT</t>
  </si>
  <si>
    <t>Laws on sexual harassment in the workplace</t>
  </si>
  <si>
    <t>timeperiod</t>
  </si>
  <si>
    <t>count of countries</t>
  </si>
  <si>
    <t>percent</t>
  </si>
  <si>
    <t>countries with data on SDG 5.1.1</t>
  </si>
  <si>
    <t>Iraq; Jordan; Lebanon; State of Palestine; United Arab Emirates</t>
  </si>
  <si>
    <t>Iraq; Jordan; Lebanon; Morocco; State of Palestine; United Arab Emirates</t>
  </si>
  <si>
    <t>Iraq; Jordan; Lebanon; Morocco; State of Palestine; Sudan; Tunisia; United Arab Emirates</t>
  </si>
  <si>
    <t>#days</t>
  </si>
  <si>
    <t>Bahrain and United Arab Emirates</t>
  </si>
  <si>
    <t>Jordan, Kuwait, Lebanon, Saudi Arabia, Palestine and Yemen</t>
  </si>
  <si>
    <t xml:space="preserve">Algeria, Comoros, Iraq, Libya, Mauritania, Morocco, Oman and Somalia </t>
  </si>
  <si>
    <t xml:space="preserve">Length of paid maternity leave </t>
  </si>
  <si>
    <t xml:space="preserve">Length of paid paternity leave </t>
  </si>
  <si>
    <t xml:space="preserve">Bahrain and Tunisia </t>
  </si>
  <si>
    <t>Poorest</t>
  </si>
  <si>
    <t>Richest</t>
  </si>
  <si>
    <t>Quintile</t>
  </si>
  <si>
    <t>2 in 5 researchers are women 2021.</t>
  </si>
  <si>
    <t>23% women hold science, engineering, and ICT jobs, 2022.</t>
  </si>
  <si>
    <t>WIPO, Oct 2024</t>
  </si>
  <si>
    <t>16% of women inventors in international patents compared to 84% men, 2023.</t>
  </si>
  <si>
    <t>Basic handwashing</t>
  </si>
  <si>
    <t>Tier I</t>
  </si>
  <si>
    <t>Tier II</t>
  </si>
  <si>
    <t>Tier III</t>
  </si>
  <si>
    <t>Tier #</t>
  </si>
  <si>
    <t>17.19.2 Death registration data that are at least 75 percent complete</t>
  </si>
  <si>
    <t>17.19.2 Birth registration data that are at least 90 percent complete</t>
  </si>
  <si>
    <t>17.19.2 Countries that have conducted at least one population and housing census in the last 10 years</t>
  </si>
  <si>
    <t>17.18.3 Countries with national statistical plans that are under implementation</t>
  </si>
  <si>
    <t>17.18.3 Countries with national statistical plans with funding from Government</t>
  </si>
  <si>
    <t>17.18.2 Countries with national statistical legislation exists that complies with the FPOS</t>
  </si>
  <si>
    <t>17.18.1 Open Data Inventory (ODIN) Coverage Index</t>
  </si>
  <si>
    <t>17.18.1 Data Infrastructure performance index (Pillar 5)</t>
  </si>
  <si>
    <t>17.18.1 Data Sources performance index (Pillar 4)</t>
  </si>
  <si>
    <t>chartnumber</t>
  </si>
  <si>
    <t>Statistical capacity to disseminate SDG gender indicators(December 2024)</t>
  </si>
  <si>
    <t>ogdi_overall</t>
  </si>
  <si>
    <t>non_ogdi_overall</t>
  </si>
  <si>
    <t>Arab Region (Median)</t>
  </si>
  <si>
    <t>total_ind</t>
  </si>
  <si>
    <t># of gender ind.</t>
  </si>
  <si>
    <t># of bothsex ind.</t>
  </si>
  <si>
    <t>only both</t>
  </si>
  <si>
    <t>no data</t>
  </si>
  <si>
    <t>Gender (%)</t>
  </si>
  <si>
    <t>only</t>
  </si>
  <si>
    <t>Both (%)</t>
  </si>
  <si>
    <t>No data (%)</t>
  </si>
  <si>
    <t>Regional average</t>
  </si>
  <si>
    <t>ILO Standard (14 weeks)</t>
  </si>
  <si>
    <t>Arab Region, 2022</t>
  </si>
  <si>
    <t xml:space="preserve">Basic handwashing </t>
  </si>
  <si>
    <t>Internet</t>
  </si>
  <si>
    <t>Note: handwashing is 2020</t>
  </si>
  <si>
    <t>Somalia (2006)</t>
  </si>
  <si>
    <t>Egypt (2014)</t>
  </si>
  <si>
    <t>Yemen (2022)</t>
  </si>
  <si>
    <t>Tunisia (2023)</t>
  </si>
  <si>
    <t>Palestine (2019-20)</t>
  </si>
  <si>
    <t>Syria (2006)</t>
  </si>
  <si>
    <t>Iraq (2018)</t>
  </si>
  <si>
    <t>Algeria (2019)</t>
  </si>
  <si>
    <t>Local Governments</t>
  </si>
  <si>
    <t>National Parliaments</t>
  </si>
  <si>
    <t>Ministerial Positions</t>
  </si>
  <si>
    <t xml:space="preserve">World </t>
  </si>
  <si>
    <t>Source: https://datatopics.worldbank.org/sdgatlas/goal-5-gender-equality/?lang=en</t>
  </si>
  <si>
    <t>Source: Gender Equality in the Agricultural Sector in the Arab Region Report 2021</t>
  </si>
  <si>
    <t>Source: World Bank, Enterprise Survey database (accessed October 2024).</t>
  </si>
  <si>
    <t>Source: Calculated by ESCWA and UN Women from World Bank Data.</t>
  </si>
  <si>
    <t>Indicators</t>
  </si>
  <si>
    <t>Workers with Advanced Education</t>
  </si>
  <si>
    <t>Unemployed with Advanced Education</t>
  </si>
  <si>
    <t>Labour Force Participation Rate</t>
  </si>
  <si>
    <t>Measure</t>
  </si>
  <si>
    <t>Rural/urban areas</t>
  </si>
  <si>
    <t>Time period</t>
  </si>
  <si>
    <t>OBS_VALUE</t>
  </si>
  <si>
    <t>Labour force participation rate (ILO modelled estimates)</t>
  </si>
  <si>
    <t>ILO - Modelled Estimates</t>
  </si>
  <si>
    <t>Labour force participation rate by sex, age and rural / urban areas -- ILO modelled estimates, Nov. 2021</t>
  </si>
  <si>
    <t>Downloaded from ILOSTAT SDMX service on 06Jan2025</t>
  </si>
  <si>
    <t>Algeria, Dijibouti, Jordan, Saudi Arabia</t>
  </si>
  <si>
    <t xml:space="preserve">Morocco </t>
  </si>
  <si>
    <t>Reference area</t>
  </si>
  <si>
    <t>Frequency</t>
  </si>
  <si>
    <t>Arab League</t>
  </si>
  <si>
    <t>Annual</t>
  </si>
  <si>
    <t>National</t>
  </si>
  <si>
    <t>UNESCO, Institute for Statistics, “Distribution of tertiary graduates by field of study” (accessed October 2024).</t>
  </si>
  <si>
    <t xml:space="preserve">Source: </t>
  </si>
  <si>
    <t>UN Women, Poster: Women political leaders 2024 (situation as of t 1 January 2024)</t>
  </si>
  <si>
    <t>UNSD SDG Global Database (accessed on October 2024).</t>
  </si>
  <si>
    <t>World bank, World development indicators (accessed October 2024).</t>
  </si>
  <si>
    <t>Calculated by ESCWA and UN Women from ILOSTAT Database (accessed October 2024).</t>
  </si>
  <si>
    <t>World Bank, Enterprise Survey database (accessed October 2024).</t>
  </si>
  <si>
    <t>ILOSTAT database (accessed October 2024).</t>
  </si>
  <si>
    <t>ILO, NORMLEX, Information System on International Labour Standard.</t>
  </si>
  <si>
    <r>
      <rPr>
        <b/>
        <sz val="10"/>
        <color theme="1"/>
        <rFont val="Times New Roman"/>
        <family val="1"/>
      </rPr>
      <t xml:space="preserve">Source: </t>
    </r>
    <r>
      <rPr>
        <sz val="10"/>
        <color theme="1"/>
        <rFont val="Times New Roman"/>
        <family val="1"/>
      </rPr>
      <t>ILO modelled estimates</t>
    </r>
  </si>
  <si>
    <t>UNSD, “SDG indicators”, Global SDG Indicators database (accessed November 2024).</t>
  </si>
  <si>
    <t>ILOSTAT Database (accessed November 2024)</t>
  </si>
  <si>
    <t>FAOSTAT Database (accessed November 2024).</t>
  </si>
  <si>
    <t>WHO, Global Health Observatory data repository (accessed November 2024).</t>
  </si>
  <si>
    <t>Calculated by ESCWA and UN Women from World Bank Data.</t>
  </si>
  <si>
    <t>UNESCO, Institute for Statistics, “Participation rate in organized learning” (accessed October 2024).</t>
  </si>
  <si>
    <t>IPU, “Women in National Parliaments” (2024), Legal frameworks: UN Women, Quotas: International IDEA</t>
  </si>
  <si>
    <t>UNSD Global Database</t>
  </si>
  <si>
    <t>UNICEF</t>
  </si>
  <si>
    <t xml:space="preserve"> ITU</t>
  </si>
  <si>
    <t>https://datatopics.worldbank.org/sdgatlas/goal-5-gender-equality/?lang=en</t>
  </si>
  <si>
    <t xml:space="preserve"> UNSD, “SDG indicators”, Global SDG Indicators database (accessed November 2024).</t>
  </si>
  <si>
    <t>ILOSTAT Database (accessed November 2024).</t>
  </si>
  <si>
    <t>World Bank, World Development indicators (accessed November 2024)</t>
  </si>
  <si>
    <t>Gender Equality in the Agricultural Sector in the Arab Region Report 2021</t>
  </si>
  <si>
    <t>UNODC Database (accessed November 2024).</t>
  </si>
  <si>
    <t>UNODC estimate based on national data</t>
  </si>
  <si>
    <t>UNDP Global Policy Center for governance</t>
  </si>
  <si>
    <t>ESCWA Arab SDG Monitor (December 2024)</t>
  </si>
  <si>
    <t>ESCWA Handbook on the Arab Gender Indicator Framework 2023</t>
  </si>
  <si>
    <t xml:space="preserve"> ESCWA Arab SDG Monitor, Disaggregation</t>
  </si>
  <si>
    <t>ESCWA Arab SDG Monitor (accessed December 2024)</t>
  </si>
  <si>
    <t>UN-HABITAT Database (accessed November 2024)</t>
  </si>
  <si>
    <t>FAOSTAT Database (accessed November 2024)</t>
  </si>
  <si>
    <t>UNESCO, Institute for Statistics, “Female researchers as a percentage of total researchers” (accessed October 2024)</t>
  </si>
  <si>
    <t>World bank, World development indicators (accessed October 2024)</t>
  </si>
  <si>
    <t xml:space="preserve">Area Name </t>
  </si>
  <si>
    <t>Sub-region Name</t>
  </si>
  <si>
    <t>UNESCO, Institute for Statistics, “Percentage of illiterates who are female” (accessed October 2024)</t>
  </si>
  <si>
    <t>Source: UN Womem</t>
  </si>
  <si>
    <t>Source: Open Data Watch</t>
  </si>
  <si>
    <t>https://www.undp.org/sites/g/files/zskgke326/files/migration/arabstates/Chart.19.Eng.pdf</t>
  </si>
  <si>
    <t>by 30 November 2024</t>
  </si>
  <si>
    <t>by 31 October 2024</t>
  </si>
  <si>
    <t>by 30 September 2024</t>
  </si>
  <si>
    <t>by 31 August 2024</t>
  </si>
  <si>
    <t>by 31 July 2024</t>
  </si>
  <si>
    <t>by 30 June 2024</t>
  </si>
  <si>
    <t>by 31 May 2024</t>
  </si>
  <si>
    <t>by 30 April 2024</t>
  </si>
  <si>
    <t>by 31 March 2024</t>
  </si>
  <si>
    <t>by 29 February 2024</t>
  </si>
  <si>
    <t>by 31 January 2024</t>
  </si>
  <si>
    <t>by 31 October 2023</t>
  </si>
  <si>
    <t>by 30 November 2023</t>
  </si>
  <si>
    <t>by 31 December 2023</t>
  </si>
  <si>
    <t>https://www.ochaopt.org/content/reported-impact-snapshot-gaza-strip-24-december-2024</t>
  </si>
  <si>
    <t>Convention on workers with family responsibilities, 1981 (No. 156)</t>
  </si>
  <si>
    <t>Convention on part-time work, 1994 (No. 175)</t>
  </si>
  <si>
    <t>Convention on home work, 1996 (No. 177)</t>
  </si>
  <si>
    <t>Convention on maternity protection, 2000 (No. 183)</t>
  </si>
  <si>
    <t>Convention on violence and harassment, 2019 (No.190)</t>
  </si>
  <si>
    <t>Economy</t>
  </si>
  <si>
    <t>There is legislation on sexual harassment in employment (1=yes; 0=no)</t>
  </si>
  <si>
    <t>Egypt, Arab Rep.</t>
  </si>
  <si>
    <t>West Bank and Gaza</t>
  </si>
  <si>
    <t>Yemen, Rep.</t>
  </si>
  <si>
    <t>World bank</t>
  </si>
  <si>
    <r>
      <rPr>
        <b/>
        <sz val="11"/>
        <color theme="1"/>
        <rFont val="Aptos Narrow"/>
        <family val="2"/>
        <scheme val="minor"/>
      </rPr>
      <t>Source:</t>
    </r>
    <r>
      <rPr>
        <sz val="11"/>
        <color theme="1"/>
        <rFont val="Aptos Narrow"/>
        <family val="2"/>
        <scheme val="minor"/>
      </rPr>
      <t xml:space="preserve"> </t>
    </r>
  </si>
  <si>
    <r>
      <t>No. 190 on</t>
    </r>
    <r>
      <rPr>
        <b/>
        <sz val="9"/>
        <color theme="1"/>
        <rFont val="Aptos Narrow"/>
        <family val="2"/>
        <scheme val="minor"/>
      </rPr>
      <t xml:space="preserve"> violence and harassment</t>
    </r>
    <r>
      <rPr>
        <sz val="9"/>
        <color theme="1"/>
        <rFont val="Aptos Narrow"/>
        <family val="2"/>
        <scheme val="minor"/>
      </rPr>
      <t xml:space="preserve"> (2019)</t>
    </r>
  </si>
  <si>
    <t xml:space="preserve">	08 Mar 2021</t>
  </si>
  <si>
    <t>7 Ocotber</t>
  </si>
  <si>
    <t xml:space="preserve">Number of countries with gender-related legislation addressing inequalities of women and girls in conflict and crises situations  </t>
  </si>
  <si>
    <t>https://odin.opendatawatch.com/Report/biennialReport2022#sec5</t>
  </si>
  <si>
    <t>Download Data</t>
  </si>
  <si>
    <t>OGDI Scores, 2022</t>
  </si>
  <si>
    <t>Goal 5. Achieve gender equality and empower all women and girls</t>
  </si>
  <si>
    <t>5.1 End all forms of discrimination against all women and girls everywhere</t>
  </si>
  <si>
    <t>5.1.1 Whether or not legal frameworks are in place to promote, enforce and monitor equality and non‑discrimination on the basis of sex</t>
  </si>
  <si>
    <t>Insufficient</t>
  </si>
  <si>
    <t>5.2 Eliminate all forms of violence against all women and girls in the public and private spheres, including trafficking and sexual and other types of exploitation</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</si>
  <si>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</si>
  <si>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</si>
  <si>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No data</t>
  </si>
  <si>
    <t>5.3 Eliminate all harmful practices, such as child, early and forced marriage and female genital mutilation</t>
  </si>
  <si>
    <t>5.3.1 Proportion of women aged 20–24 years who were married or in a union before age 15 and before age 18</t>
  </si>
  <si>
    <t>5.3.2 Proportion of girls and women aged 15–49 years who have undergone female genital mutilation/cutting, by age</t>
  </si>
  <si>
    <t>5.4 Recognize and value unpaid care and domestic work through the provision of public services, infrastructure and social protection policies and the promotion of shared responsibility within the household and the family as nationally appropriate</t>
  </si>
  <si>
    <t>5.4.1 Proportion of time spent on unpaid domestic and care work, by sex, age and location</t>
  </si>
  <si>
    <t>5.5 Ensure women’s full and effective participation and equal opportunities for leadership at all levels of decision-making in political, economic and public life</t>
  </si>
  <si>
    <t>5.5.1 Proportion of seats held by women in (b) local governments</t>
  </si>
  <si>
    <t>Sufficient</t>
  </si>
  <si>
    <t>5.5.2 Proportion of women in managerial positions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</si>
  <si>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</si>
  <si>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</si>
  <si>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</si>
  <si>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5.a Undertake reforms to give women equal rights to economic resources, as well as access to ownership and control over land and other forms of property, financial services, inheritance and natural resources, in accordance with national laws</t>
  </si>
  <si>
    <t>5.a.1 (a) Proportion of total agricultural population with ownership or secure rights over agricultural land, by sex; and (b) share of women among owners or rights-bearers of agricultural land, by type of tenure</t>
  </si>
  <si>
    <t>5.a.2 Proportion of countries where the legal framework (including customary law) guarantees women’s equal rights to land ownership and/or control</t>
  </si>
  <si>
    <t>5.b Enhance the use of enabling technology, in particular information and communications technology, to promote the empowerment of women</t>
  </si>
  <si>
    <t>5.b.1 Proportion of individuals who own a mobile telephone, by sex</t>
  </si>
  <si>
    <t>5.c Adopt and strengthen sound policies and enforceable legislation for the promotion of gender equality and the empowerment of all women and girls at all levels</t>
  </si>
  <si>
    <t>5.c.1 Proportion of countries with systems to track and make public allocations for gender equality and women’s empowerment</t>
  </si>
  <si>
    <t>Sustainable Development Goal</t>
  </si>
  <si>
    <t>Region or subregion</t>
  </si>
  <si>
    <t>Target</t>
  </si>
  <si>
    <t>Sustainable Development Goal 1:</t>
  </si>
  <si>
    <t>No poverty</t>
  </si>
  <si>
    <t>Sustainable Development Goal 6:</t>
  </si>
  <si>
    <t>Clean water and sanitation</t>
  </si>
  <si>
    <t>GCC</t>
  </si>
  <si>
    <t>6.1*</t>
  </si>
  <si>
    <t>LDCs</t>
  </si>
  <si>
    <t>Maghreb</t>
  </si>
  <si>
    <t>Mashreq</t>
  </si>
  <si>
    <t>6.1 </t>
  </si>
  <si>
    <t>Sustainable Development Goal 2:</t>
  </si>
  <si>
    <t>Zero hunger</t>
  </si>
  <si>
    <t>2.4 </t>
  </si>
  <si>
    <t>Sustainable Development Goal 7:</t>
  </si>
  <si>
    <t>Affordable and clean energy</t>
  </si>
  <si>
    <t>Sustainable Development Goal 3:</t>
  </si>
  <si>
    <t>Good health and well-being</t>
  </si>
  <si>
    <t>Sustainable Development Goal 8:</t>
  </si>
  <si>
    <t>Decent work and economic growth</t>
  </si>
  <si>
    <t>8.10*</t>
  </si>
  <si>
    <t>Sustainable Development Goal 4:</t>
  </si>
  <si>
    <t>Quality education</t>
  </si>
  <si>
    <t>4.a.1 </t>
  </si>
  <si>
    <t>Sustainable Development Goal 9:</t>
  </si>
  <si>
    <t>Industry, innovation and infrastructure</t>
  </si>
  <si>
    <t>9.c</t>
  </si>
  <si>
    <t>9.5 </t>
  </si>
  <si>
    <t>4.1*</t>
  </si>
  <si>
    <t>4.a.1</t>
  </si>
  <si>
    <t>Sustainable Development Goal 10:</t>
  </si>
  <si>
    <t>Peace, justice and strong institutions</t>
  </si>
  <si>
    <t>16.7 </t>
  </si>
  <si>
    <r>
      <t>4.a.1</t>
    </r>
    <r>
      <rPr>
        <vertAlign val="superscript"/>
        <sz val="7"/>
        <color rgb="FF575756"/>
        <rFont val="Arial"/>
        <family val="2"/>
      </rPr>
      <t>*</t>
    </r>
  </si>
  <si>
    <t>4.a.1*</t>
  </si>
  <si>
    <t>Sustainable Development Goal 5:</t>
  </si>
  <si>
    <t>Gender equality</t>
  </si>
  <si>
    <t>5.b</t>
  </si>
  <si>
    <t>5.3 *</t>
  </si>
  <si>
    <t>Sustainable Development Goal 17:</t>
  </si>
  <si>
    <t>Partnerships for the goals</t>
  </si>
  <si>
    <t> 17.8</t>
  </si>
  <si>
    <t> 5.6*</t>
  </si>
  <si>
    <r>
      <t>*</t>
    </r>
    <r>
      <rPr>
        <sz val="7"/>
        <color rgb="FF575756"/>
        <rFont val="Arial"/>
        <family val="2"/>
      </rPr>
      <t>Assessment of progress by subregion is based on the progress status of the region and relative to other available and relevant indicators when data for the subregion are not available.</t>
    </r>
  </si>
  <si>
    <t>State of Palestine</t>
  </si>
  <si>
    <t>UNESCO, UIS Database</t>
  </si>
  <si>
    <t>SeriesDescription</t>
  </si>
  <si>
    <t>GeoAreaNameLa</t>
  </si>
  <si>
    <t>Legal frameworks that promote, enforce and monitor gender equality (percentage of achievement, 0 - 100) -- Area 1: overarching legal frameworks and public life</t>
  </si>
  <si>
    <t>Legal frameworks that promote, enforce and monitor gender equality (percentage of achievement, 0 - 100) --  Area 2: violence against women</t>
  </si>
  <si>
    <t>Legal frameworks that promote, enforce and monitor gender equality (percentage of achievement, 0 - 100) -- Area 3: employment and economic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</si>
</sst>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quot;%&quot;"/>
    <numFmt numFmtId="165" formatCode="#0&quot;%&quot;"/>
    <numFmt numFmtId="166" formatCode="0.0"/>
    <numFmt numFmtId="167" formatCode="_(* #,##0_);_(* \(#,##0\);_(* &quot;-&quot;??_);_(@_)"/>
    <numFmt numFmtId="168" formatCode="0.0%"/>
    <numFmt numFmtId="169" formatCode="#,##0.00&quot;%&quot;"/>
    <numFmt numFmtId="170" formatCode="_(* #,##0.0_);_(* \(#,##0.0\);_(* &quot;-&quot;??_);_(@_)"/>
    <numFmt numFmtId="171" formatCode="#,##0&quot;%&quot;"/>
    <numFmt numFmtId="172" formatCode="#,##0.0000000000000"/>
    <numFmt numFmtId="173" formatCode="#,###&quot;%&quot;"/>
  </numFmts>
  <fonts count="85">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12"/>
      <color theme="1"/>
      <name val="Aptos"/>
      <family val="2"/>
    </font>
    <font>
      <sz val="10"/>
      <color theme="1"/>
      <name val="Aptos"/>
      <family val="2"/>
    </font>
    <font>
      <u/>
      <sz val="10"/>
      <color theme="10"/>
      <name val="Verdana"/>
      <family val="2"/>
    </font>
    <font>
      <sz val="10"/>
      <color theme="1"/>
      <name val="Aptos Narrow"/>
      <family val="2"/>
      <scheme val="minor"/>
    </font>
    <font>
      <u/>
      <sz val="10"/>
      <name val="Verdana"/>
      <family val="2"/>
    </font>
    <font>
      <b/>
      <sz val="11"/>
      <name val="Aptos"/>
      <family val="2"/>
    </font>
    <font>
      <sz val="10"/>
      <name val="Aptos"/>
      <family val="2"/>
    </font>
    <font>
      <b/>
      <sz val="10"/>
      <name val="Aptos"/>
      <family val="2"/>
    </font>
    <font>
      <b/>
      <sz val="9"/>
      <color indexed="81"/>
      <name val="Tahoma"/>
      <family val="2"/>
    </font>
    <font>
      <sz val="9"/>
      <color indexed="81"/>
      <name val="Tahoma"/>
      <family val="2"/>
    </font>
    <font>
      <b/>
      <sz val="11"/>
      <color theme="1"/>
      <name val="Aptos"/>
      <family val="2"/>
    </font>
    <font>
      <sz val="10"/>
      <color rgb="FFFF0000"/>
      <name val="Aptos"/>
      <family val="2"/>
    </font>
    <font>
      <b/>
      <sz val="10"/>
      <color theme="1"/>
      <name val="Aptos"/>
      <family val="2"/>
    </font>
    <font>
      <sz val="11"/>
      <color theme="1"/>
      <name val="Aptos"/>
      <family val="2"/>
    </font>
    <font>
      <sz val="6"/>
      <color rgb="FFAFACAB"/>
      <name val="Times New Roman"/>
      <family val="1"/>
    </font>
    <font>
      <b/>
      <sz val="12"/>
      <color theme="1"/>
      <name val="Aptos Narrow"/>
      <family val="2"/>
      <scheme val="minor"/>
    </font>
    <font>
      <sz val="12"/>
      <color theme="1"/>
      <name val="Aptos Narrow"/>
      <family val="2"/>
      <scheme val="minor"/>
    </font>
    <font>
      <sz val="11"/>
      <name val="Calibri"/>
      <family val="2"/>
    </font>
    <font>
      <b/>
      <sz val="11"/>
      <name val="Calibri"/>
      <family val="2"/>
    </font>
    <font>
      <sz val="10"/>
      <name val="Calibri"/>
      <family val="2"/>
    </font>
    <font>
      <b/>
      <sz val="12"/>
      <color theme="0"/>
      <name val="Aptos Narrow"/>
      <family val="2"/>
      <scheme val="minor"/>
    </font>
    <font>
      <b/>
      <sz val="12"/>
      <color theme="0"/>
      <name val="Aptos"/>
      <family val="2"/>
    </font>
    <font>
      <b/>
      <sz val="11"/>
      <color theme="0"/>
      <name val="Aptos"/>
      <family val="2"/>
    </font>
    <font>
      <sz val="11"/>
      <color theme="0"/>
      <name val="Aptos"/>
      <family val="2"/>
    </font>
    <font>
      <sz val="11"/>
      <color rgb="FF47494E"/>
      <name val="Calibri"/>
      <family val="2"/>
    </font>
    <font>
      <sz val="11"/>
      <color rgb="FF000000"/>
      <name val="Aptos Narrow"/>
      <family val="2"/>
      <scheme val="minor"/>
    </font>
    <font>
      <sz val="10"/>
      <color rgb="FF000000"/>
      <name val="Aptos Narrow"/>
      <family val="2"/>
      <scheme val="minor"/>
    </font>
    <font>
      <sz val="11"/>
      <name val="Calibri"/>
      <family val="2"/>
    </font>
    <font>
      <sz val="11"/>
      <name val="Aptos Display"/>
      <family val="2"/>
      <scheme val="major"/>
    </font>
    <font>
      <b/>
      <sz val="12"/>
      <color theme="0"/>
      <name val="Aptos Display"/>
      <family val="2"/>
      <scheme val="major"/>
    </font>
    <font>
      <sz val="11"/>
      <color theme="0"/>
      <name val="Aptos Display"/>
      <family val="2"/>
      <scheme val="major"/>
    </font>
    <font>
      <sz val="10"/>
      <color rgb="FF000000"/>
      <name val="Aptos"/>
      <family val="2"/>
    </font>
    <font>
      <b/>
      <sz val="10"/>
      <color rgb="FF000000"/>
      <name val="Aptos"/>
      <family val="2"/>
    </font>
    <font>
      <sz val="11"/>
      <color theme="0"/>
      <name val="Calibri"/>
      <family val="2"/>
    </font>
    <font>
      <sz val="11"/>
      <color rgb="FF77206D"/>
      <name val="Aptos"/>
      <family val="2"/>
    </font>
    <font>
      <sz val="11"/>
      <color rgb="FF77206D"/>
      <name val="Wingdings"/>
      <charset val="2"/>
    </font>
    <font>
      <sz val="11"/>
      <color theme="0"/>
      <name val="Source Sans Pro"/>
      <family val="2"/>
    </font>
    <font>
      <b/>
      <sz val="11"/>
      <color theme="0"/>
      <name val="Calibri"/>
      <family val="2"/>
    </font>
    <font>
      <b/>
      <sz val="11"/>
      <color theme="1"/>
      <name val="Calibri"/>
      <family val="2"/>
    </font>
    <font>
      <b/>
      <sz val="12"/>
      <color theme="0"/>
      <name val="Calibri"/>
      <family val="2"/>
    </font>
    <font>
      <sz val="11"/>
      <color theme="1"/>
      <name val="Calibri"/>
      <family val="2"/>
    </font>
    <font>
      <sz val="10"/>
      <color theme="0"/>
      <name val="Aptos Narrow"/>
      <family val="2"/>
      <scheme val="minor"/>
    </font>
    <font>
      <sz val="10"/>
      <color theme="1"/>
      <name val="Calibri"/>
      <family val="2"/>
    </font>
    <font>
      <sz val="9.75"/>
      <color rgb="FFFFFFFF"/>
      <name val="Calibri"/>
      <family val="2"/>
    </font>
    <font>
      <sz val="9.75"/>
      <color rgb="FF000000"/>
      <name val="Calibri"/>
      <family val="2"/>
    </font>
    <font>
      <sz val="9.75"/>
      <name val="Calibri"/>
      <family val="2"/>
    </font>
    <font>
      <sz val="9"/>
      <color theme="1"/>
      <name val="Aptos Narrow"/>
      <family val="2"/>
      <scheme val="minor"/>
    </font>
    <font>
      <b/>
      <sz val="9"/>
      <color theme="1"/>
      <name val="Aptos Narrow"/>
      <family val="2"/>
      <scheme val="minor"/>
    </font>
    <font>
      <sz val="8"/>
      <color rgb="FF000000"/>
      <name val="Calibri"/>
      <family val="2"/>
    </font>
    <font>
      <sz val="7"/>
      <color rgb="FFFFFFFF"/>
      <name val="Arial"/>
      <family val="2"/>
    </font>
    <font>
      <sz val="10"/>
      <name val="Aptos Narrow"/>
      <family val="2"/>
      <scheme val="minor"/>
    </font>
    <font>
      <sz val="8"/>
      <name val="Aptos Narrow"/>
      <family val="2"/>
      <scheme val="minor"/>
    </font>
    <font>
      <sz val="11"/>
      <color rgb="FF000000"/>
      <name val="Calibri"/>
      <family val="2"/>
    </font>
    <font>
      <sz val="10"/>
      <color rgb="FF000000"/>
      <name val="Calibri"/>
      <family val="2"/>
    </font>
    <font>
      <b/>
      <sz val="14"/>
      <color theme="1"/>
      <name val="Aptos Narrow"/>
      <family val="2"/>
      <scheme val="minor"/>
    </font>
    <font>
      <sz val="12"/>
      <color theme="1"/>
      <name val="Times New Roman"/>
      <family val="1"/>
    </font>
    <font>
      <sz val="10"/>
      <color theme="1"/>
      <name val="Times New Roman"/>
      <family val="1"/>
    </font>
    <font>
      <b/>
      <sz val="9"/>
      <color theme="1"/>
      <name val="Verdana"/>
      <family val="2"/>
    </font>
    <font>
      <sz val="9"/>
      <color theme="1"/>
      <name val="Calibri"/>
      <family val="2"/>
    </font>
    <font>
      <sz val="9"/>
      <color theme="1"/>
      <name val="Verdana"/>
      <family val="2"/>
    </font>
    <font>
      <sz val="8"/>
      <color theme="1"/>
      <name val="Times New Roman"/>
      <family val="1"/>
    </font>
    <font>
      <i/>
      <sz val="9"/>
      <color theme="1"/>
      <name val="Times New Roman"/>
      <family val="1"/>
    </font>
    <font>
      <sz val="11"/>
      <color rgb="FF000000"/>
      <name val="Times New Roman"/>
      <family val="1"/>
    </font>
    <font>
      <b/>
      <sz val="10"/>
      <color theme="1"/>
      <name val="Times New Roman"/>
      <family val="1"/>
    </font>
    <font>
      <sz val="9"/>
      <color rgb="FF000000"/>
      <name val="Aptos Narrow"/>
      <family val="2"/>
    </font>
    <font>
      <sz val="11"/>
      <color rgb="FF000000"/>
      <name val="Aptos Narrow"/>
      <family val="2"/>
    </font>
    <font>
      <sz val="9"/>
      <color theme="1"/>
      <name val="Times New Roman"/>
      <family val="1"/>
    </font>
    <font>
      <sz val="9"/>
      <color theme="1"/>
      <name val="Aptos"/>
      <family val="2"/>
    </font>
    <font>
      <b/>
      <sz val="9"/>
      <color theme="1"/>
      <name val="Aptos"/>
      <family val="2"/>
    </font>
    <font>
      <sz val="12"/>
      <color theme="1"/>
      <name val="Aptos"/>
      <family val="2"/>
    </font>
    <font>
      <sz val="11"/>
      <name val="Aptos Narrow"/>
      <family val="2"/>
      <scheme val="minor"/>
    </font>
    <font>
      <sz val="11"/>
      <color theme="1"/>
      <name val="Helvetica Neue"/>
    </font>
    <font>
      <b/>
      <sz val="9"/>
      <color rgb="FF000000"/>
      <name val="Arial"/>
      <family val="2"/>
    </font>
    <font>
      <b/>
      <sz val="11"/>
      <name val="Times New Roman"/>
      <family val="1"/>
    </font>
    <font>
      <b/>
      <sz val="9"/>
      <name val="Times New Roman"/>
      <family val="1"/>
    </font>
    <font>
      <sz val="10.5"/>
      <color theme="1"/>
      <name val="Aptos"/>
      <family val="2"/>
    </font>
    <font>
      <sz val="7"/>
      <color rgb="FF575756"/>
      <name val="Arial"/>
      <family val="2"/>
    </font>
    <font>
      <vertAlign val="superscript"/>
      <sz val="7"/>
      <color rgb="FF575756"/>
      <name val="Arial"/>
      <family val="2"/>
    </font>
    <font>
      <b/>
      <sz val="11"/>
      <color rgb="FF000000"/>
      <name val="Aptos Narrow"/>
      <family val="2"/>
    </font>
  </fonts>
  <fills count="33">
    <fill>
      <patternFill patternType="none"/>
    </fill>
    <fill>
      <patternFill patternType="gray125"/>
    </fill>
    <fill>
      <patternFill patternType="solid">
        <fgColor them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FD6925"/>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00689D"/>
        <bgColor indexed="64"/>
      </patternFill>
    </fill>
    <fill>
      <patternFill patternType="solid">
        <fgColor rgb="FF19486A"/>
        <bgColor indexed="64"/>
      </patternFill>
    </fill>
    <fill>
      <patternFill patternType="solid">
        <fgColor rgb="FF56C02B"/>
        <bgColor indexed="64"/>
      </patternFill>
    </fill>
    <fill>
      <patternFill patternType="solid">
        <fgColor rgb="FFFFFFFF"/>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E2EFD9"/>
        <bgColor indexed="64"/>
      </patternFill>
    </fill>
    <fill>
      <patternFill patternType="solid">
        <fgColor rgb="FFF2F2F2"/>
        <bgColor indexed="64"/>
      </patternFill>
    </fill>
    <fill>
      <patternFill patternType="solid">
        <fgColor rgb="FFFFFF66"/>
        <bgColor indexed="64"/>
      </patternFill>
    </fill>
    <fill>
      <patternFill patternType="solid">
        <fgColor rgb="FFADD8E6"/>
        <bgColor indexed="64"/>
      </patternFill>
    </fill>
    <fill>
      <patternFill patternType="solid">
        <fgColor rgb="FF0070C0"/>
        <bgColor indexed="64"/>
      </patternFill>
    </fill>
    <fill>
      <patternFill patternType="solid">
        <fgColor rgb="FFFF8427"/>
        <bgColor indexed="64"/>
      </patternFill>
    </fill>
    <fill>
      <patternFill patternType="solid">
        <fgColor rgb="FFBFBFBF"/>
        <bgColor indexed="64"/>
      </patternFill>
    </fill>
    <fill>
      <patternFill patternType="solid">
        <fgColor rgb="FF00B0F0"/>
        <bgColor indexed="64"/>
      </patternFill>
    </fill>
    <fill>
      <patternFill patternType="solid">
        <fgColor rgb="FFFFC000"/>
        <bgColor indexed="64"/>
      </patternFill>
    </fill>
    <fill>
      <patternFill patternType="solid">
        <fgColor rgb="FFFFD966"/>
        <bgColor indexed="64"/>
      </patternFill>
    </fill>
    <fill>
      <patternFill patternType="solid">
        <fgColor rgb="FFFF0000"/>
        <bgColor indexed="64"/>
      </patternFill>
    </fill>
    <fill>
      <patternFill patternType="solid">
        <fgColor rgb="FFFFBD4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A9A9A9"/>
      </left>
      <right style="thin">
        <color rgb="FFA9A9A9"/>
      </right>
      <top/>
      <bottom style="thin">
        <color indexed="64"/>
      </bottom>
      <diagonal/>
    </border>
    <border>
      <left style="thin">
        <color rgb="FFA9A9A9"/>
      </left>
      <right style="thin">
        <color rgb="FFA9A9A9"/>
      </right>
      <top/>
      <bottom style="thin">
        <color rgb="FFA9A9A9"/>
      </bottom>
      <diagonal/>
    </border>
    <border>
      <left style="thin">
        <color rgb="FFA9A9A9"/>
      </left>
      <right style="thin">
        <color rgb="FFA9A9A9"/>
      </right>
      <top style="thin">
        <color rgb="FFA9A9A9"/>
      </top>
      <bottom style="thin">
        <color rgb="FFA9A9A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83CAEB"/>
      </left>
      <right style="medium">
        <color rgb="FF83CAEB"/>
      </right>
      <top style="medium">
        <color rgb="FF83CAEB"/>
      </top>
      <bottom style="thick">
        <color rgb="FF45B0E1"/>
      </bottom>
      <diagonal/>
    </border>
    <border>
      <left/>
      <right style="medium">
        <color rgb="FF83CAEB"/>
      </right>
      <top style="medium">
        <color rgb="FF83CAEB"/>
      </top>
      <bottom style="thick">
        <color rgb="FF45B0E1"/>
      </bottom>
      <diagonal/>
    </border>
    <border>
      <left style="medium">
        <color rgb="FF83CAEB"/>
      </left>
      <right style="medium">
        <color rgb="FF83CAEB"/>
      </right>
      <top/>
      <bottom style="medium">
        <color rgb="FF83CAEB"/>
      </bottom>
      <diagonal/>
    </border>
    <border>
      <left/>
      <right style="medium">
        <color rgb="FF83CAEB"/>
      </right>
      <top/>
      <bottom style="medium">
        <color rgb="FF83CAEB"/>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22" fillId="0" borderId="0"/>
    <xf numFmtId="0" fontId="23" fillId="0" borderId="0"/>
    <xf numFmtId="0" fontId="33" fillId="0" borderId="0"/>
    <xf numFmtId="43" fontId="23" fillId="0" borderId="0" applyFont="0" applyFill="0" applyBorder="0" applyAlignment="0" applyProtection="0"/>
    <xf numFmtId="9" fontId="23" fillId="0" borderId="0" applyFont="0" applyFill="0" applyBorder="0" applyAlignment="0" applyProtection="0"/>
    <xf numFmtId="0" fontId="23" fillId="0" borderId="0"/>
  </cellStyleXfs>
  <cellXfs count="557">
    <xf numFmtId="0" fontId="0" fillId="0" borderId="0" xfId="0"/>
    <xf numFmtId="0" fontId="6" fillId="2" borderId="1" xfId="0" applyFont="1" applyFill="1" applyBorder="1" applyAlignment="1">
      <alignment horizontal="center"/>
    </xf>
    <xf numFmtId="0" fontId="7" fillId="0" borderId="0" xfId="0" applyFont="1"/>
    <xf numFmtId="0" fontId="8" fillId="0" borderId="0" xfId="3" applyFont="1"/>
    <xf numFmtId="0" fontId="9" fillId="0" borderId="0" xfId="0" applyFont="1"/>
    <xf numFmtId="0" fontId="10" fillId="0" borderId="0" xfId="0" applyFont="1" applyAlignment="1">
      <alignment horizontal="left"/>
    </xf>
    <xf numFmtId="0" fontId="1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vertical="top" wrapText="1"/>
    </xf>
    <xf numFmtId="164" fontId="12" fillId="0" borderId="1" xfId="0" applyNumberFormat="1" applyFont="1" applyBorder="1" applyAlignment="1">
      <alignment horizontal="center"/>
    </xf>
    <xf numFmtId="0" fontId="13" fillId="2" borderId="1" xfId="0" applyFont="1" applyFill="1" applyBorder="1" applyAlignment="1">
      <alignment horizontal="left" vertical="top" wrapText="1"/>
    </xf>
    <xf numFmtId="164" fontId="13" fillId="0" borderId="1" xfId="0" applyNumberFormat="1" applyFont="1" applyBorder="1" applyAlignment="1">
      <alignment horizontal="center"/>
    </xf>
    <xf numFmtId="0" fontId="16" fillId="2" borderId="1" xfId="0" applyFont="1" applyFill="1" applyBorder="1" applyAlignment="1">
      <alignment horizontal="center" vertical="top" wrapText="1"/>
    </xf>
    <xf numFmtId="0" fontId="7" fillId="2" borderId="1" xfId="0" applyFont="1" applyFill="1" applyBorder="1"/>
    <xf numFmtId="164" fontId="7" fillId="0" borderId="1" xfId="0" applyNumberFormat="1" applyFont="1" applyBorder="1" applyAlignment="1">
      <alignment horizontal="center"/>
    </xf>
    <xf numFmtId="0" fontId="18" fillId="2" borderId="1" xfId="0" applyFont="1" applyFill="1" applyBorder="1"/>
    <xf numFmtId="164" fontId="18" fillId="0" borderId="1" xfId="0" applyNumberFormat="1" applyFont="1" applyBorder="1" applyAlignment="1">
      <alignment horizontal="center"/>
    </xf>
    <xf numFmtId="0" fontId="16" fillId="2" borderId="1" xfId="0" applyFont="1" applyFill="1" applyBorder="1" applyAlignment="1">
      <alignment horizontal="center" vertical="center"/>
    </xf>
    <xf numFmtId="165" fontId="7" fillId="0" borderId="1" xfId="0" applyNumberFormat="1" applyFont="1" applyBorder="1" applyAlignment="1">
      <alignment horizontal="center"/>
    </xf>
    <xf numFmtId="165" fontId="12" fillId="0" borderId="1" xfId="0" applyNumberFormat="1" applyFont="1" applyBorder="1" applyAlignment="1">
      <alignment horizontal="center"/>
    </xf>
    <xf numFmtId="0" fontId="3" fillId="0" borderId="0" xfId="0" applyFont="1" applyAlignment="1">
      <alignment vertical="top" wrapText="1"/>
    </xf>
    <xf numFmtId="0" fontId="3" fillId="0" borderId="0" xfId="0" applyFont="1" applyAlignment="1">
      <alignment vertical="center" wrapText="1"/>
    </xf>
    <xf numFmtId="0" fontId="16" fillId="2" borderId="3" xfId="0" applyFont="1" applyFill="1" applyBorder="1" applyAlignment="1">
      <alignment vertical="center"/>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wrapText="1"/>
    </xf>
    <xf numFmtId="165" fontId="18" fillId="0" borderId="1" xfId="0" applyNumberFormat="1" applyFont="1" applyBorder="1" applyAlignment="1">
      <alignment horizontal="center"/>
    </xf>
    <xf numFmtId="0" fontId="6" fillId="2" borderId="1" xfId="0" applyFont="1" applyFill="1" applyBorder="1" applyAlignment="1">
      <alignment vertical="center"/>
    </xf>
    <xf numFmtId="0" fontId="6" fillId="2" borderId="1" xfId="0" applyFont="1" applyFill="1" applyBorder="1" applyAlignment="1">
      <alignment vertical="top" wrapText="1"/>
    </xf>
    <xf numFmtId="165" fontId="7" fillId="0" borderId="1" xfId="0" applyNumberFormat="1" applyFont="1" applyBorder="1"/>
    <xf numFmtId="165" fontId="18" fillId="0" borderId="1" xfId="0" applyNumberFormat="1" applyFont="1" applyBorder="1"/>
    <xf numFmtId="0" fontId="23" fillId="0" borderId="0" xfId="5"/>
    <xf numFmtId="0" fontId="25" fillId="2" borderId="1" xfId="5" applyFont="1" applyFill="1" applyBorder="1"/>
    <xf numFmtId="165" fontId="25" fillId="0" borderId="1" xfId="5" applyNumberFormat="1" applyFont="1" applyBorder="1"/>
    <xf numFmtId="0" fontId="2" fillId="3" borderId="1" xfId="0" applyFont="1" applyFill="1" applyBorder="1"/>
    <xf numFmtId="0" fontId="0" fillId="0" borderId="1" xfId="0" applyBorder="1"/>
    <xf numFmtId="167" fontId="4" fillId="3" borderId="1" xfId="1" applyNumberFormat="1" applyFont="1" applyFill="1" applyBorder="1"/>
    <xf numFmtId="168" fontId="4" fillId="3" borderId="1" xfId="2" applyNumberFormat="1" applyFont="1" applyFill="1" applyBorder="1"/>
    <xf numFmtId="0" fontId="9" fillId="0" borderId="1" xfId="0" applyFont="1" applyBorder="1"/>
    <xf numFmtId="167" fontId="9" fillId="0" borderId="1" xfId="1" applyNumberFormat="1" applyFont="1" applyFill="1" applyBorder="1"/>
    <xf numFmtId="168" fontId="9" fillId="0" borderId="1" xfId="2" applyNumberFormat="1" applyFont="1" applyFill="1" applyBorder="1"/>
    <xf numFmtId="167" fontId="0" fillId="0" borderId="0" xfId="1" applyNumberFormat="1" applyFont="1"/>
    <xf numFmtId="168" fontId="0" fillId="0" borderId="0" xfId="2" applyNumberFormat="1" applyFont="1"/>
    <xf numFmtId="0" fontId="3" fillId="0" borderId="1" xfId="0" applyFont="1" applyBorder="1"/>
    <xf numFmtId="0" fontId="0" fillId="0" borderId="1" xfId="0" applyBorder="1" applyAlignment="1">
      <alignment horizontal="left"/>
    </xf>
    <xf numFmtId="0" fontId="4" fillId="3" borderId="1" xfId="0" applyFont="1" applyFill="1" applyBorder="1" applyAlignment="1">
      <alignment horizontal="center"/>
    </xf>
    <xf numFmtId="0" fontId="9" fillId="0" borderId="1" xfId="0" applyFont="1" applyBorder="1" applyAlignment="1">
      <alignment horizontal="left"/>
    </xf>
    <xf numFmtId="3" fontId="9" fillId="0" borderId="1" xfId="0" applyNumberFormat="1" applyFont="1" applyBorder="1" applyAlignment="1">
      <alignment horizontal="center"/>
    </xf>
    <xf numFmtId="168" fontId="9" fillId="0" borderId="1" xfId="0" applyNumberFormat="1" applyFont="1" applyBorder="1" applyAlignment="1">
      <alignment horizontal="center"/>
    </xf>
    <xf numFmtId="0" fontId="9" fillId="0" borderId="1" xfId="0" applyFont="1" applyBorder="1" applyAlignment="1">
      <alignment horizontal="left" vertical="center" wrapText="1"/>
    </xf>
    <xf numFmtId="3" fontId="9" fillId="0" borderId="1" xfId="0" applyNumberFormat="1" applyFont="1" applyBorder="1" applyAlignment="1">
      <alignment horizontal="center" vertical="center" wrapText="1"/>
    </xf>
    <xf numFmtId="168" fontId="9" fillId="0" borderId="1"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left"/>
    </xf>
    <xf numFmtId="169" fontId="9" fillId="0" borderId="1" xfId="0" applyNumberFormat="1" applyFont="1" applyBorder="1"/>
    <xf numFmtId="167" fontId="9" fillId="0" borderId="1" xfId="1" applyNumberFormat="1" applyFont="1" applyBorder="1"/>
    <xf numFmtId="166" fontId="4" fillId="3" borderId="1" xfId="0" applyNumberFormat="1" applyFont="1" applyFill="1" applyBorder="1" applyAlignment="1">
      <alignment horizontal="center" vertical="center"/>
    </xf>
    <xf numFmtId="164" fontId="9" fillId="0" borderId="1" xfId="0" applyNumberFormat="1" applyFont="1" applyBorder="1" applyAlignment="1">
      <alignment horizontal="center"/>
    </xf>
    <xf numFmtId="166" fontId="0" fillId="0" borderId="0" xfId="0" applyNumberFormat="1"/>
    <xf numFmtId="0" fontId="4" fillId="3" borderId="1" xfId="0" applyFont="1" applyFill="1" applyBorder="1"/>
    <xf numFmtId="164" fontId="0" fillId="0" borderId="1" xfId="0" applyNumberFormat="1" applyBorder="1"/>
    <xf numFmtId="167" fontId="0" fillId="0" borderId="1" xfId="0" applyNumberFormat="1" applyBorder="1"/>
    <xf numFmtId="0" fontId="0" fillId="0" borderId="0" xfId="0" applyAlignment="1">
      <alignment vertical="center"/>
    </xf>
    <xf numFmtId="0" fontId="19" fillId="0" borderId="0" xfId="0" applyFont="1"/>
    <xf numFmtId="0" fontId="19" fillId="0" borderId="1" xfId="0" applyFont="1" applyBorder="1"/>
    <xf numFmtId="0" fontId="28" fillId="4" borderId="1" xfId="0" applyFont="1" applyFill="1" applyBorder="1"/>
    <xf numFmtId="0" fontId="7" fillId="0" borderId="1" xfId="0" applyFont="1" applyBorder="1"/>
    <xf numFmtId="0" fontId="7" fillId="0" borderId="1" xfId="0" applyFont="1" applyBorder="1" applyAlignment="1">
      <alignment horizontal="center"/>
    </xf>
    <xf numFmtId="0" fontId="19" fillId="0" borderId="0" xfId="0" applyFont="1" applyAlignment="1">
      <alignment horizontal="left"/>
    </xf>
    <xf numFmtId="0" fontId="19" fillId="0" borderId="1" xfId="0" applyFont="1" applyBorder="1" applyAlignment="1">
      <alignment horizontal="left"/>
    </xf>
    <xf numFmtId="0" fontId="29" fillId="4" borderId="3" xfId="0" applyFont="1" applyFill="1" applyBorder="1" applyAlignment="1">
      <alignment horizontal="center"/>
    </xf>
    <xf numFmtId="0" fontId="7" fillId="0" borderId="1" xfId="0" applyFont="1" applyBorder="1" applyAlignment="1">
      <alignment horizontal="left"/>
    </xf>
    <xf numFmtId="167" fontId="7" fillId="0" borderId="1" xfId="1" applyNumberFormat="1" applyFont="1" applyBorder="1"/>
    <xf numFmtId="164" fontId="7" fillId="0" borderId="1" xfId="0" applyNumberFormat="1" applyFont="1" applyBorder="1"/>
    <xf numFmtId="170" fontId="28" fillId="4" borderId="1" xfId="1" applyNumberFormat="1" applyFont="1" applyFill="1" applyBorder="1" applyAlignment="1">
      <alignment horizontal="center"/>
    </xf>
    <xf numFmtId="164" fontId="7" fillId="0" borderId="1" xfId="1" applyNumberFormat="1" applyFont="1" applyBorder="1"/>
    <xf numFmtId="170" fontId="0" fillId="0" borderId="0" xfId="1" applyNumberFormat="1" applyFont="1"/>
    <xf numFmtId="0" fontId="19" fillId="0" borderId="5" xfId="0" applyFont="1" applyBorder="1"/>
    <xf numFmtId="0" fontId="28" fillId="4" borderId="1" xfId="0" applyFont="1" applyFill="1" applyBorder="1" applyAlignment="1">
      <alignment horizontal="center"/>
    </xf>
    <xf numFmtId="164" fontId="28" fillId="4" borderId="1" xfId="0" applyNumberFormat="1" applyFont="1" applyFill="1" applyBorder="1" applyAlignment="1">
      <alignment horizontal="center"/>
    </xf>
    <xf numFmtId="164" fontId="0" fillId="0" borderId="0" xfId="0" applyNumberFormat="1"/>
    <xf numFmtId="164" fontId="27" fillId="4" borderId="1" xfId="0" applyNumberFormat="1" applyFont="1" applyFill="1" applyBorder="1"/>
    <xf numFmtId="164" fontId="7" fillId="0" borderId="1" xfId="1" applyNumberFormat="1" applyFont="1" applyFill="1" applyBorder="1" applyAlignment="1">
      <alignment horizontal="center"/>
    </xf>
    <xf numFmtId="0" fontId="19" fillId="0" borderId="1" xfId="0" applyFont="1" applyBorder="1" applyAlignment="1">
      <alignment vertical="center"/>
    </xf>
    <xf numFmtId="0" fontId="19" fillId="0" borderId="1" xfId="0" applyFont="1" applyBorder="1" applyAlignment="1">
      <alignment horizontal="left" vertical="center"/>
    </xf>
    <xf numFmtId="170" fontId="28" fillId="5" borderId="1" xfId="1" applyNumberFormat="1" applyFont="1" applyFill="1" applyBorder="1" applyAlignment="1">
      <alignment horizontal="center" vertical="center" wrapText="1"/>
    </xf>
    <xf numFmtId="167" fontId="28" fillId="5" borderId="1" xfId="1" applyNumberFormat="1" applyFont="1" applyFill="1" applyBorder="1" applyAlignment="1">
      <alignment horizontal="center" vertical="center"/>
    </xf>
    <xf numFmtId="170" fontId="7" fillId="0" borderId="1" xfId="1" applyNumberFormat="1" applyFont="1" applyBorder="1" applyAlignment="1">
      <alignment horizontal="center"/>
    </xf>
    <xf numFmtId="167" fontId="7" fillId="0" borderId="1" xfId="1" applyNumberFormat="1" applyFont="1" applyBorder="1" applyAlignment="1">
      <alignment horizontal="center"/>
    </xf>
    <xf numFmtId="170" fontId="19" fillId="0" borderId="0" xfId="1" applyNumberFormat="1" applyFont="1"/>
    <xf numFmtId="167" fontId="19" fillId="0" borderId="0" xfId="1" applyNumberFormat="1" applyFont="1"/>
    <xf numFmtId="170" fontId="19" fillId="0" borderId="1" xfId="1" applyNumberFormat="1" applyFont="1" applyBorder="1"/>
    <xf numFmtId="167" fontId="19" fillId="0" borderId="1" xfId="1" applyNumberFormat="1" applyFont="1" applyBorder="1"/>
    <xf numFmtId="170" fontId="0" fillId="0" borderId="5" xfId="1" applyNumberFormat="1" applyFont="1" applyBorder="1"/>
    <xf numFmtId="0" fontId="4" fillId="5" borderId="1" xfId="0" applyFont="1" applyFill="1" applyBorder="1" applyAlignment="1">
      <alignment horizontal="left"/>
    </xf>
    <xf numFmtId="170" fontId="4" fillId="5" borderId="1" xfId="1" applyNumberFormat="1" applyFont="1" applyFill="1" applyBorder="1" applyAlignment="1">
      <alignment horizontal="left"/>
    </xf>
    <xf numFmtId="170" fontId="0" fillId="0" borderId="1" xfId="1" applyNumberFormat="1" applyFont="1" applyBorder="1"/>
    <xf numFmtId="164" fontId="0" fillId="0" borderId="1" xfId="1" applyNumberFormat="1" applyFont="1" applyBorder="1" applyAlignment="1">
      <alignment horizontal="center"/>
    </xf>
    <xf numFmtId="0" fontId="4" fillId="5" borderId="1" xfId="0" applyFont="1" applyFill="1" applyBorder="1" applyAlignment="1">
      <alignment horizontal="center"/>
    </xf>
    <xf numFmtId="0" fontId="4" fillId="6" borderId="1" xfId="0" applyFont="1" applyFill="1" applyBorder="1" applyAlignment="1">
      <alignment horizontal="center"/>
    </xf>
    <xf numFmtId="0" fontId="31" fillId="0" borderId="1" xfId="0" applyFont="1" applyBorder="1" applyAlignment="1">
      <alignment vertical="center"/>
    </xf>
    <xf numFmtId="0" fontId="32" fillId="0" borderId="1" xfId="0" applyFont="1" applyBorder="1" applyAlignment="1">
      <alignment vertical="center" wrapText="1"/>
    </xf>
    <xf numFmtId="164" fontId="32" fillId="0" borderId="1" xfId="0" applyNumberFormat="1" applyFont="1" applyBorder="1" applyAlignment="1">
      <alignment horizontal="right" vertical="center" wrapText="1"/>
    </xf>
    <xf numFmtId="0" fontId="32" fillId="0" borderId="1" xfId="0" applyFont="1" applyBorder="1" applyAlignment="1">
      <alignment vertical="center"/>
    </xf>
    <xf numFmtId="167" fontId="9" fillId="0" borderId="1" xfId="0" applyNumberFormat="1" applyFont="1" applyBorder="1"/>
    <xf numFmtId="164" fontId="0" fillId="0" borderId="1" xfId="0" applyNumberFormat="1" applyBorder="1" applyAlignment="1">
      <alignment horizontal="center"/>
    </xf>
    <xf numFmtId="2" fontId="0" fillId="0" borderId="0" xfId="0" applyNumberFormat="1"/>
    <xf numFmtId="0" fontId="4" fillId="6" borderId="1" xfId="0" applyFont="1" applyFill="1" applyBorder="1"/>
    <xf numFmtId="164" fontId="9" fillId="0" borderId="1" xfId="0" applyNumberFormat="1" applyFont="1" applyBorder="1"/>
    <xf numFmtId="0" fontId="2" fillId="6" borderId="1" xfId="0" applyFont="1" applyFill="1" applyBorder="1"/>
    <xf numFmtId="167" fontId="0" fillId="0" borderId="1" xfId="1" applyNumberFormat="1" applyFont="1" applyBorder="1" applyAlignment="1">
      <alignment horizontal="center"/>
    </xf>
    <xf numFmtId="0" fontId="2" fillId="6" borderId="0" xfId="0" applyFont="1" applyFill="1"/>
    <xf numFmtId="0" fontId="34" fillId="0" borderId="0" xfId="6" applyFont="1"/>
    <xf numFmtId="0" fontId="33" fillId="0" borderId="0" xfId="6"/>
    <xf numFmtId="0" fontId="34" fillId="0" borderId="1" xfId="6" applyFont="1" applyBorder="1"/>
    <xf numFmtId="0" fontId="36" fillId="7" borderId="1" xfId="6" applyFont="1" applyFill="1" applyBorder="1" applyAlignment="1">
      <alignment horizontal="center"/>
    </xf>
    <xf numFmtId="0" fontId="37" fillId="0" borderId="1" xfId="6" applyFont="1" applyBorder="1" applyAlignment="1">
      <alignment vertical="top"/>
    </xf>
    <xf numFmtId="0" fontId="37" fillId="0" borderId="1" xfId="6" applyFont="1" applyBorder="1" applyAlignment="1">
      <alignment horizontal="center" vertical="top"/>
    </xf>
    <xf numFmtId="164" fontId="37" fillId="0" borderId="1" xfId="6" applyNumberFormat="1" applyFont="1" applyBorder="1" applyAlignment="1">
      <alignment horizontal="center" vertical="top"/>
    </xf>
    <xf numFmtId="166" fontId="37" fillId="0" borderId="1" xfId="7" applyNumberFormat="1" applyFont="1" applyFill="1" applyBorder="1" applyAlignment="1">
      <alignment horizontal="center" vertical="center"/>
    </xf>
    <xf numFmtId="43" fontId="33" fillId="0" borderId="0" xfId="6" applyNumberFormat="1"/>
    <xf numFmtId="10" fontId="0" fillId="0" borderId="0" xfId="8" applyNumberFormat="1" applyFont="1"/>
    <xf numFmtId="2" fontId="37" fillId="0" borderId="1" xfId="7" applyNumberFormat="1" applyFont="1" applyFill="1" applyBorder="1" applyAlignment="1">
      <alignment horizontal="center" vertical="center"/>
    </xf>
    <xf numFmtId="0" fontId="38" fillId="0" borderId="1" xfId="6" applyFont="1" applyBorder="1" applyAlignment="1">
      <alignment vertical="top"/>
    </xf>
    <xf numFmtId="0" fontId="38" fillId="0" borderId="1" xfId="6" applyFont="1" applyBorder="1" applyAlignment="1">
      <alignment horizontal="center" vertical="top"/>
    </xf>
    <xf numFmtId="164" fontId="38" fillId="0" borderId="1" xfId="6" applyNumberFormat="1" applyFont="1" applyBorder="1" applyAlignment="1">
      <alignment horizontal="center" vertical="top"/>
    </xf>
    <xf numFmtId="166" fontId="13" fillId="0" borderId="1" xfId="7" applyNumberFormat="1" applyFont="1" applyFill="1" applyBorder="1" applyAlignment="1">
      <alignment horizontal="center"/>
    </xf>
    <xf numFmtId="0" fontId="19" fillId="0" borderId="0" xfId="0" applyFont="1" applyAlignment="1">
      <alignment vertical="center"/>
    </xf>
    <xf numFmtId="0" fontId="29" fillId="7" borderId="1" xfId="0" applyFont="1" applyFill="1" applyBorder="1" applyAlignment="1">
      <alignment horizontal="center"/>
    </xf>
    <xf numFmtId="0" fontId="28" fillId="7" borderId="1" xfId="0" applyFont="1" applyFill="1" applyBorder="1" applyAlignment="1">
      <alignment horizontal="center" vertical="center"/>
    </xf>
    <xf numFmtId="0" fontId="29" fillId="7" borderId="1" xfId="0" applyFont="1" applyFill="1" applyBorder="1" applyAlignment="1">
      <alignment wrapText="1"/>
    </xf>
    <xf numFmtId="0" fontId="4" fillId="7" borderId="1" xfId="0" applyFont="1" applyFill="1" applyBorder="1" applyAlignment="1">
      <alignment horizontal="center"/>
    </xf>
    <xf numFmtId="167" fontId="0" fillId="0" borderId="1" xfId="1" applyNumberFormat="1" applyFont="1" applyBorder="1"/>
    <xf numFmtId="10" fontId="0" fillId="0" borderId="0" xfId="2" applyNumberFormat="1" applyFont="1"/>
    <xf numFmtId="1" fontId="0" fillId="0" borderId="0" xfId="0" applyNumberFormat="1"/>
    <xf numFmtId="167" fontId="3" fillId="0" borderId="1" xfId="1" applyNumberFormat="1" applyFont="1" applyBorder="1"/>
    <xf numFmtId="167" fontId="39" fillId="5" borderId="1" xfId="1" applyNumberFormat="1" applyFont="1" applyFill="1" applyBorder="1"/>
    <xf numFmtId="0" fontId="23" fillId="0" borderId="1" xfId="0" applyFont="1" applyBorder="1"/>
    <xf numFmtId="0" fontId="40" fillId="0" borderId="0" xfId="0" applyFont="1" applyAlignment="1">
      <alignment vertical="center"/>
    </xf>
    <xf numFmtId="3" fontId="9" fillId="0" borderId="1" xfId="0" applyNumberFormat="1" applyFont="1" applyBorder="1"/>
    <xf numFmtId="168" fontId="9" fillId="0" borderId="1" xfId="2" applyNumberFormat="1" applyFont="1" applyBorder="1"/>
    <xf numFmtId="0" fontId="4" fillId="8" borderId="1" xfId="0" applyFont="1" applyFill="1" applyBorder="1" applyAlignment="1">
      <alignment horizontal="center" vertical="center"/>
    </xf>
    <xf numFmtId="0" fontId="4" fillId="8" borderId="1" xfId="0" applyFont="1" applyFill="1" applyBorder="1"/>
    <xf numFmtId="0" fontId="5" fillId="0" borderId="0" xfId="3" applyNumberFormat="1"/>
    <xf numFmtId="1" fontId="9" fillId="0" borderId="1" xfId="0" applyNumberFormat="1" applyFont="1" applyBorder="1" applyAlignment="1">
      <alignment horizontal="left"/>
    </xf>
    <xf numFmtId="166" fontId="4" fillId="8" borderId="1" xfId="0" applyNumberFormat="1" applyFont="1" applyFill="1" applyBorder="1" applyAlignment="1">
      <alignment horizontal="center"/>
    </xf>
    <xf numFmtId="9" fontId="4" fillId="0" borderId="0" xfId="2" applyFont="1"/>
    <xf numFmtId="9" fontId="0" fillId="0" borderId="1" xfId="2" applyFont="1" applyFill="1" applyBorder="1"/>
    <xf numFmtId="0" fontId="42" fillId="0" borderId="0" xfId="0" applyFont="1"/>
    <xf numFmtId="0" fontId="4" fillId="0" borderId="0" xfId="0" applyFont="1"/>
    <xf numFmtId="0" fontId="25" fillId="0" borderId="1" xfId="5" applyFont="1" applyBorder="1"/>
    <xf numFmtId="167" fontId="9" fillId="0" borderId="1" xfId="7" applyNumberFormat="1" applyFont="1" applyBorder="1"/>
    <xf numFmtId="0" fontId="25" fillId="0" borderId="1" xfId="5" applyFont="1" applyBorder="1" applyAlignment="1">
      <alignment horizontal="left"/>
    </xf>
    <xf numFmtId="0" fontId="39" fillId="8" borderId="1" xfId="5" applyFont="1" applyFill="1" applyBorder="1"/>
    <xf numFmtId="0" fontId="39" fillId="8" borderId="1" xfId="5" applyFont="1" applyFill="1" applyBorder="1" applyAlignment="1">
      <alignment horizontal="center"/>
    </xf>
    <xf numFmtId="0" fontId="23" fillId="0" borderId="1" xfId="5" applyBorder="1"/>
    <xf numFmtId="0" fontId="44" fillId="0" borderId="1" xfId="0" applyFont="1" applyBorder="1" applyAlignment="1">
      <alignment vertical="center" wrapText="1"/>
    </xf>
    <xf numFmtId="0" fontId="39" fillId="9" borderId="1" xfId="0" applyFont="1" applyFill="1" applyBorder="1" applyAlignment="1">
      <alignment horizontal="center" vertical="center"/>
    </xf>
    <xf numFmtId="0" fontId="46" fillId="0" borderId="1" xfId="0" applyFont="1" applyBorder="1" applyAlignment="1">
      <alignment vertical="center"/>
    </xf>
    <xf numFmtId="3" fontId="46" fillId="0" borderId="1" xfId="0" applyNumberFormat="1" applyFont="1" applyBorder="1" applyAlignment="1">
      <alignment horizontal="center" vertical="center"/>
    </xf>
    <xf numFmtId="164" fontId="46" fillId="0" borderId="1" xfId="0" applyNumberFormat="1" applyFont="1" applyBorder="1" applyAlignment="1">
      <alignment horizontal="center" vertical="center"/>
    </xf>
    <xf numFmtId="0" fontId="44" fillId="0" borderId="1" xfId="0" applyFont="1" applyBorder="1" applyAlignment="1">
      <alignment vertical="center"/>
    </xf>
    <xf numFmtId="3" fontId="44" fillId="0" borderId="1" xfId="0" applyNumberFormat="1" applyFont="1" applyBorder="1" applyAlignment="1">
      <alignment horizontal="center" vertical="center"/>
    </xf>
    <xf numFmtId="164" fontId="44" fillId="0" borderId="1" xfId="0" applyNumberFormat="1" applyFont="1" applyBorder="1" applyAlignment="1">
      <alignment horizontal="center" vertical="center"/>
    </xf>
    <xf numFmtId="0" fontId="46" fillId="0" borderId="0" xfId="0" applyFont="1" applyAlignment="1">
      <alignment vertical="center"/>
    </xf>
    <xf numFmtId="167" fontId="2" fillId="9" borderId="1" xfId="1" applyNumberFormat="1" applyFont="1" applyFill="1" applyBorder="1"/>
    <xf numFmtId="170" fontId="0" fillId="0" borderId="1" xfId="1" applyNumberFormat="1" applyFont="1" applyFill="1" applyBorder="1"/>
    <xf numFmtId="0" fontId="3" fillId="0" borderId="1" xfId="0" applyFont="1" applyBorder="1" applyAlignment="1">
      <alignment horizontal="left"/>
    </xf>
    <xf numFmtId="170" fontId="3" fillId="0" borderId="1" xfId="1" applyNumberFormat="1" applyFont="1" applyFill="1" applyBorder="1"/>
    <xf numFmtId="0" fontId="0" fillId="0" borderId="0" xfId="0" applyAlignment="1">
      <alignment horizontal="center"/>
    </xf>
    <xf numFmtId="167" fontId="0" fillId="0" borderId="0" xfId="0" applyNumberFormat="1" applyAlignment="1">
      <alignment horizontal="center"/>
    </xf>
    <xf numFmtId="167" fontId="9" fillId="0" borderId="1" xfId="1" applyNumberFormat="1" applyFont="1" applyBorder="1" applyAlignment="1">
      <alignment horizontal="center"/>
    </xf>
    <xf numFmtId="0" fontId="5" fillId="0" borderId="0" xfId="3"/>
    <xf numFmtId="0" fontId="2" fillId="10" borderId="1" xfId="0" applyFont="1" applyFill="1" applyBorder="1"/>
    <xf numFmtId="164" fontId="3" fillId="0" borderId="1" xfId="0" applyNumberFormat="1" applyFont="1" applyBorder="1" applyAlignment="1">
      <alignment horizontal="center"/>
    </xf>
    <xf numFmtId="0" fontId="4" fillId="10" borderId="3" xfId="0" applyFont="1" applyFill="1" applyBorder="1" applyAlignment="1">
      <alignment horizontal="center"/>
    </xf>
    <xf numFmtId="0" fontId="4" fillId="10" borderId="1" xfId="0" applyFont="1" applyFill="1" applyBorder="1" applyAlignment="1">
      <alignment horizontal="center"/>
    </xf>
    <xf numFmtId="167" fontId="2" fillId="11" borderId="1" xfId="1" applyNumberFormat="1" applyFont="1" applyFill="1" applyBorder="1" applyAlignment="1">
      <alignment horizontal="center"/>
    </xf>
    <xf numFmtId="167" fontId="2" fillId="11" borderId="1" xfId="1" applyNumberFormat="1" applyFont="1" applyFill="1" applyBorder="1"/>
    <xf numFmtId="164" fontId="2" fillId="11" borderId="1" xfId="0" applyNumberFormat="1" applyFont="1" applyFill="1" applyBorder="1"/>
    <xf numFmtId="0" fontId="2" fillId="11" borderId="1" xfId="0" applyFont="1" applyFill="1" applyBorder="1" applyAlignment="1">
      <alignment horizontal="center"/>
    </xf>
    <xf numFmtId="170" fontId="2" fillId="11" borderId="1" xfId="1" applyNumberFormat="1" applyFont="1" applyFill="1" applyBorder="1" applyAlignment="1">
      <alignment horizontal="center"/>
    </xf>
    <xf numFmtId="164" fontId="9" fillId="0" borderId="1" xfId="1" applyNumberFormat="1" applyFont="1" applyBorder="1"/>
    <xf numFmtId="0" fontId="2" fillId="11" borderId="1" xfId="0" applyFont="1" applyFill="1" applyBorder="1"/>
    <xf numFmtId="0" fontId="7" fillId="0" borderId="0" xfId="0" applyFont="1" applyAlignment="1">
      <alignment vertical="center"/>
    </xf>
    <xf numFmtId="0" fontId="29" fillId="11" borderId="1" xfId="0" applyFont="1" applyFill="1" applyBorder="1" applyAlignment="1">
      <alignment horizontal="center"/>
    </xf>
    <xf numFmtId="0" fontId="0" fillId="0" borderId="1" xfId="0" applyBorder="1" applyAlignment="1">
      <alignment vertical="center" wrapText="1"/>
    </xf>
    <xf numFmtId="0" fontId="4" fillId="12" borderId="1" xfId="0" applyFont="1" applyFill="1" applyBorder="1" applyAlignment="1">
      <alignment vertical="center" wrapText="1"/>
    </xf>
    <xf numFmtId="167" fontId="4" fillId="12" borderId="1" xfId="1" applyNumberFormat="1" applyFont="1" applyFill="1" applyBorder="1"/>
    <xf numFmtId="167" fontId="0" fillId="0" borderId="1" xfId="1" applyNumberFormat="1" applyFont="1" applyFill="1" applyBorder="1"/>
    <xf numFmtId="168" fontId="0" fillId="0" borderId="0" xfId="2" applyNumberFormat="1" applyFont="1" applyFill="1"/>
    <xf numFmtId="167" fontId="0" fillId="0" borderId="0" xfId="1" applyNumberFormat="1" applyFont="1" applyFill="1"/>
    <xf numFmtId="0" fontId="47" fillId="13" borderId="1" xfId="0" applyFont="1" applyFill="1" applyBorder="1" applyAlignment="1">
      <alignment horizontal="center"/>
    </xf>
    <xf numFmtId="0" fontId="47" fillId="13" borderId="1" xfId="0" applyFont="1" applyFill="1" applyBorder="1"/>
    <xf numFmtId="0" fontId="48" fillId="0" borderId="0" xfId="0" applyFont="1"/>
    <xf numFmtId="0" fontId="48" fillId="0" borderId="1" xfId="0" applyFont="1" applyBorder="1"/>
    <xf numFmtId="0" fontId="0" fillId="0" borderId="1" xfId="0" applyBorder="1" applyAlignment="1">
      <alignment vertical="center"/>
    </xf>
    <xf numFmtId="0" fontId="4" fillId="14" borderId="1" xfId="0" applyFont="1" applyFill="1" applyBorder="1" applyAlignment="1">
      <alignment vertical="center"/>
    </xf>
    <xf numFmtId="0" fontId="4" fillId="14" borderId="1" xfId="0" applyFont="1" applyFill="1" applyBorder="1" applyAlignment="1">
      <alignment horizontal="center" vertical="center" wrapText="1"/>
    </xf>
    <xf numFmtId="0" fontId="0" fillId="0" borderId="1" xfId="0" applyBorder="1" applyAlignment="1">
      <alignment horizontal="center"/>
    </xf>
    <xf numFmtId="0" fontId="3" fillId="0" borderId="1" xfId="0" applyFont="1" applyBorder="1" applyAlignment="1">
      <alignment horizontal="center"/>
    </xf>
    <xf numFmtId="0" fontId="0" fillId="0" borderId="7" xfId="0" applyBorder="1"/>
    <xf numFmtId="0" fontId="4" fillId="10" borderId="1" xfId="0" applyFont="1" applyFill="1" applyBorder="1" applyAlignment="1">
      <alignment horizontal="center" vertical="center" wrapText="1"/>
    </xf>
    <xf numFmtId="0" fontId="4" fillId="10" borderId="1" xfId="0" applyFont="1" applyFill="1" applyBorder="1" applyAlignment="1">
      <alignment horizontal="center" vertical="center"/>
    </xf>
    <xf numFmtId="0" fontId="9" fillId="0" borderId="7" xfId="0" applyFont="1" applyBorder="1" applyAlignment="1">
      <alignment horizontal="center"/>
    </xf>
    <xf numFmtId="0" fontId="4" fillId="10" borderId="1" xfId="0" applyFont="1" applyFill="1" applyBorder="1" applyAlignment="1">
      <alignment vertical="center" wrapText="1"/>
    </xf>
    <xf numFmtId="0" fontId="4" fillId="10" borderId="1" xfId="0" applyFont="1" applyFill="1" applyBorder="1" applyAlignment="1">
      <alignment vertical="center"/>
    </xf>
    <xf numFmtId="0" fontId="9" fillId="0" borderId="1" xfId="0" applyFont="1" applyBorder="1" applyAlignment="1">
      <alignment horizontal="center"/>
    </xf>
    <xf numFmtId="167" fontId="0" fillId="0" borderId="0" xfId="1" applyNumberFormat="1" applyFont="1" applyBorder="1"/>
    <xf numFmtId="0" fontId="4" fillId="15" borderId="1" xfId="0" applyFont="1" applyFill="1" applyBorder="1" applyAlignment="1">
      <alignment horizontal="left"/>
    </xf>
    <xf numFmtId="0" fontId="4" fillId="15" borderId="1" xfId="0" applyFont="1" applyFill="1" applyBorder="1" applyAlignment="1">
      <alignment horizontal="center"/>
    </xf>
    <xf numFmtId="167" fontId="0" fillId="0" borderId="0" xfId="0" applyNumberFormat="1"/>
    <xf numFmtId="0" fontId="4" fillId="7" borderId="1" xfId="0" applyFont="1" applyFill="1" applyBorder="1"/>
    <xf numFmtId="168" fontId="0" fillId="0" borderId="1" xfId="2" applyNumberFormat="1" applyFont="1" applyBorder="1" applyAlignment="1">
      <alignment horizontal="center"/>
    </xf>
    <xf numFmtId="167" fontId="4" fillId="16" borderId="1" xfId="1" applyNumberFormat="1" applyFont="1" applyFill="1" applyBorder="1" applyAlignment="1">
      <alignment horizontal="center"/>
    </xf>
    <xf numFmtId="0" fontId="4" fillId="16" borderId="1" xfId="0" applyFont="1" applyFill="1" applyBorder="1" applyAlignment="1">
      <alignment horizontal="center"/>
    </xf>
    <xf numFmtId="0" fontId="4" fillId="10" borderId="1" xfId="0" applyFont="1" applyFill="1" applyBorder="1"/>
    <xf numFmtId="169" fontId="0" fillId="0" borderId="1" xfId="0" applyNumberFormat="1" applyBorder="1"/>
    <xf numFmtId="0" fontId="50" fillId="17" borderId="13" xfId="0" applyFont="1" applyFill="1" applyBorder="1" applyAlignment="1">
      <alignment horizontal="left" vertical="center" readingOrder="1"/>
    </xf>
    <xf numFmtId="0" fontId="50" fillId="17" borderId="14" xfId="0" applyFont="1" applyFill="1" applyBorder="1" applyAlignment="1">
      <alignment horizontal="left" vertical="center" readingOrder="1"/>
    </xf>
    <xf numFmtId="0" fontId="49" fillId="7" borderId="12" xfId="0" applyFont="1" applyFill="1" applyBorder="1" applyAlignment="1">
      <alignment horizontal="center" vertical="center" readingOrder="1"/>
    </xf>
    <xf numFmtId="164" fontId="50" fillId="17" borderId="13" xfId="0" applyNumberFormat="1" applyFont="1" applyFill="1" applyBorder="1" applyAlignment="1">
      <alignment horizontal="center" vertical="center" readingOrder="1"/>
    </xf>
    <xf numFmtId="164" fontId="50" fillId="17" borderId="14" xfId="0" applyNumberFormat="1" applyFont="1" applyFill="1" applyBorder="1" applyAlignment="1">
      <alignment horizontal="center" vertical="center" readingOrder="1"/>
    </xf>
    <xf numFmtId="0" fontId="4" fillId="9" borderId="1" xfId="0" applyFont="1" applyFill="1" applyBorder="1" applyAlignment="1">
      <alignment horizontal="center"/>
    </xf>
    <xf numFmtId="164" fontId="4" fillId="15" borderId="1" xfId="0" applyNumberFormat="1" applyFont="1" applyFill="1" applyBorder="1" applyAlignment="1">
      <alignment horizontal="center"/>
    </xf>
    <xf numFmtId="0" fontId="16" fillId="2" borderId="1" xfId="0" applyFont="1" applyFill="1" applyBorder="1" applyAlignment="1">
      <alignment vertical="center"/>
    </xf>
    <xf numFmtId="165" fontId="0" fillId="0" borderId="1" xfId="0" applyNumberFormat="1" applyBorder="1" applyAlignment="1">
      <alignment horizontal="center"/>
    </xf>
    <xf numFmtId="166" fontId="0" fillId="0" borderId="1" xfId="0" applyNumberFormat="1" applyBorder="1" applyAlignment="1">
      <alignment horizontal="center"/>
    </xf>
    <xf numFmtId="0" fontId="0" fillId="18" borderId="1" xfId="0" applyFill="1" applyBorder="1"/>
    <xf numFmtId="165" fontId="0" fillId="18" borderId="1" xfId="0" applyNumberFormat="1" applyFill="1" applyBorder="1" applyAlignment="1">
      <alignment horizontal="center"/>
    </xf>
    <xf numFmtId="166" fontId="0" fillId="18" borderId="1" xfId="0" applyNumberFormat="1" applyFill="1" applyBorder="1" applyAlignment="1">
      <alignment horizontal="center"/>
    </xf>
    <xf numFmtId="168" fontId="0" fillId="18" borderId="1" xfId="0" applyNumberFormat="1" applyFill="1" applyBorder="1" applyAlignment="1">
      <alignment horizontal="center"/>
    </xf>
    <xf numFmtId="166" fontId="3" fillId="0" borderId="1" xfId="0" applyNumberFormat="1" applyFont="1" applyBorder="1"/>
    <xf numFmtId="0" fontId="18" fillId="0" borderId="1" xfId="0" applyFont="1" applyBorder="1"/>
    <xf numFmtId="0" fontId="32" fillId="0" borderId="0" xfId="0" applyFont="1" applyAlignment="1">
      <alignment vertical="center"/>
    </xf>
    <xf numFmtId="0" fontId="28" fillId="11" borderId="11" xfId="0" applyFont="1" applyFill="1" applyBorder="1" applyAlignment="1">
      <alignment horizontal="center"/>
    </xf>
    <xf numFmtId="0" fontId="28" fillId="11" borderId="3" xfId="0" applyFont="1" applyFill="1" applyBorder="1" applyAlignment="1">
      <alignment horizontal="center"/>
    </xf>
    <xf numFmtId="168" fontId="7" fillId="0" borderId="1" xfId="2" applyNumberFormat="1" applyFont="1" applyBorder="1" applyAlignment="1">
      <alignment horizontal="center"/>
    </xf>
    <xf numFmtId="0" fontId="23" fillId="0" borderId="0" xfId="5" applyAlignment="1">
      <alignment vertical="center"/>
    </xf>
    <xf numFmtId="0" fontId="2" fillId="12" borderId="1" xfId="0" applyFont="1" applyFill="1" applyBorder="1"/>
    <xf numFmtId="0" fontId="0" fillId="20" borderId="0" xfId="0" applyFill="1"/>
    <xf numFmtId="0" fontId="0" fillId="20" borderId="1" xfId="0" applyFill="1" applyBorder="1"/>
    <xf numFmtId="0" fontId="52" fillId="0" borderId="0" xfId="0" applyFont="1" applyAlignment="1">
      <alignment horizontal="center" vertical="center"/>
    </xf>
    <xf numFmtId="0" fontId="52" fillId="18" borderId="0" xfId="0" applyFont="1" applyFill="1"/>
    <xf numFmtId="0" fontId="0" fillId="0" borderId="0" xfId="0" applyAlignment="1">
      <alignment wrapText="1"/>
    </xf>
    <xf numFmtId="0" fontId="52" fillId="0" borderId="0" xfId="0" applyFont="1" applyAlignment="1">
      <alignment vertical="center"/>
    </xf>
    <xf numFmtId="0" fontId="9" fillId="18" borderId="1" xfId="0" applyFont="1" applyFill="1" applyBorder="1"/>
    <xf numFmtId="0" fontId="9" fillId="18" borderId="1" xfId="0" applyFont="1" applyFill="1" applyBorder="1" applyAlignment="1">
      <alignment horizontal="left"/>
    </xf>
    <xf numFmtId="3" fontId="9" fillId="18" borderId="1" xfId="0" applyNumberFormat="1" applyFont="1" applyFill="1" applyBorder="1" applyAlignment="1">
      <alignment horizontal="center"/>
    </xf>
    <xf numFmtId="168" fontId="9" fillId="18" borderId="1" xfId="0" applyNumberFormat="1" applyFont="1" applyFill="1" applyBorder="1" applyAlignment="1">
      <alignment horizontal="center"/>
    </xf>
    <xf numFmtId="168" fontId="9" fillId="18" borderId="1" xfId="2" applyNumberFormat="1" applyFont="1" applyFill="1" applyBorder="1"/>
    <xf numFmtId="167" fontId="9" fillId="18" borderId="1" xfId="1" applyNumberFormat="1" applyFont="1" applyFill="1" applyBorder="1"/>
    <xf numFmtId="164" fontId="9" fillId="18" borderId="1" xfId="0" applyNumberFormat="1" applyFont="1" applyFill="1" applyBorder="1" applyAlignment="1">
      <alignment horizontal="center"/>
    </xf>
    <xf numFmtId="169" fontId="9" fillId="18" borderId="1" xfId="0" applyNumberFormat="1" applyFont="1" applyFill="1" applyBorder="1"/>
    <xf numFmtId="0" fontId="0" fillId="18" borderId="1" xfId="0" applyFill="1" applyBorder="1" applyAlignment="1">
      <alignment horizontal="left"/>
    </xf>
    <xf numFmtId="164" fontId="9" fillId="18" borderId="1" xfId="1" applyNumberFormat="1" applyFont="1" applyFill="1" applyBorder="1"/>
    <xf numFmtId="167" fontId="0" fillId="18" borderId="1" xfId="0" applyNumberFormat="1" applyFill="1" applyBorder="1"/>
    <xf numFmtId="164" fontId="0" fillId="18" borderId="1" xfId="0" applyNumberFormat="1" applyFill="1" applyBorder="1"/>
    <xf numFmtId="0" fontId="7" fillId="18" borderId="1" xfId="0" applyFont="1" applyFill="1" applyBorder="1"/>
    <xf numFmtId="0" fontId="7" fillId="18" borderId="1" xfId="0" applyFont="1" applyFill="1" applyBorder="1" applyAlignment="1">
      <alignment horizontal="center"/>
    </xf>
    <xf numFmtId="164" fontId="7" fillId="18" borderId="1" xfId="0" applyNumberFormat="1" applyFont="1" applyFill="1" applyBorder="1"/>
    <xf numFmtId="164" fontId="9" fillId="18" borderId="1" xfId="0" applyNumberFormat="1" applyFont="1" applyFill="1" applyBorder="1"/>
    <xf numFmtId="0" fontId="7" fillId="18" borderId="1" xfId="0" applyFont="1" applyFill="1" applyBorder="1" applyAlignment="1">
      <alignment horizontal="left"/>
    </xf>
    <xf numFmtId="170" fontId="7" fillId="18" borderId="1" xfId="1" applyNumberFormat="1" applyFont="1" applyFill="1" applyBorder="1" applyAlignment="1">
      <alignment horizontal="center"/>
    </xf>
    <xf numFmtId="170" fontId="0" fillId="18" borderId="1" xfId="1" applyNumberFormat="1" applyFont="1" applyFill="1" applyBorder="1"/>
    <xf numFmtId="164" fontId="0" fillId="18" borderId="1" xfId="1" applyNumberFormat="1" applyFont="1" applyFill="1" applyBorder="1" applyAlignment="1">
      <alignment horizontal="center"/>
    </xf>
    <xf numFmtId="164" fontId="0" fillId="18" borderId="1" xfId="0" applyNumberFormat="1" applyFill="1" applyBorder="1" applyAlignment="1">
      <alignment horizontal="center"/>
    </xf>
    <xf numFmtId="0" fontId="0" fillId="18" borderId="0" xfId="0" applyFill="1"/>
    <xf numFmtId="2" fontId="0" fillId="18" borderId="1" xfId="0" applyNumberFormat="1" applyFill="1" applyBorder="1"/>
    <xf numFmtId="2" fontId="0" fillId="0" borderId="1" xfId="0" applyNumberFormat="1" applyBorder="1"/>
    <xf numFmtId="172" fontId="0" fillId="0" borderId="0" xfId="0" applyNumberFormat="1"/>
    <xf numFmtId="164" fontId="56" fillId="18" borderId="1" xfId="0" applyNumberFormat="1" applyFont="1" applyFill="1" applyBorder="1"/>
    <xf numFmtId="1" fontId="0" fillId="20" borderId="1" xfId="2" applyNumberFormat="1" applyFont="1" applyFill="1" applyBorder="1"/>
    <xf numFmtId="1" fontId="0" fillId="20" borderId="1" xfId="0" applyNumberFormat="1" applyFill="1" applyBorder="1"/>
    <xf numFmtId="1" fontId="25" fillId="0" borderId="1" xfId="2" applyNumberFormat="1" applyFont="1" applyBorder="1"/>
    <xf numFmtId="9" fontId="0" fillId="20" borderId="1" xfId="2" applyFont="1" applyFill="1" applyBorder="1"/>
    <xf numFmtId="171" fontId="9" fillId="20" borderId="1" xfId="0" applyNumberFormat="1" applyFont="1" applyFill="1" applyBorder="1"/>
    <xf numFmtId="171" fontId="0" fillId="20" borderId="1" xfId="0" applyNumberFormat="1" applyFill="1" applyBorder="1"/>
    <xf numFmtId="171" fontId="9" fillId="20" borderId="1" xfId="1" applyNumberFormat="1" applyFont="1" applyFill="1" applyBorder="1"/>
    <xf numFmtId="171" fontId="9" fillId="20" borderId="1" xfId="0" applyNumberFormat="1" applyFont="1" applyFill="1" applyBorder="1" applyAlignment="1">
      <alignment horizontal="center"/>
    </xf>
    <xf numFmtId="0" fontId="7" fillId="20" borderId="6" xfId="0" applyFont="1" applyFill="1" applyBorder="1"/>
    <xf numFmtId="171" fontId="0" fillId="20" borderId="6" xfId="0" applyNumberFormat="1" applyFill="1" applyBorder="1"/>
    <xf numFmtId="171" fontId="9" fillId="20" borderId="6" xfId="0" applyNumberFormat="1" applyFont="1" applyFill="1" applyBorder="1" applyAlignment="1">
      <alignment horizontal="center"/>
    </xf>
    <xf numFmtId="0" fontId="0" fillId="20" borderId="1" xfId="0" applyFill="1" applyBorder="1" applyAlignment="1">
      <alignment horizontal="center"/>
    </xf>
    <xf numFmtId="0" fontId="9" fillId="20" borderId="1" xfId="0" applyFont="1" applyFill="1" applyBorder="1" applyAlignment="1">
      <alignment horizontal="center"/>
    </xf>
    <xf numFmtId="171" fontId="7" fillId="20" borderId="1" xfId="0" applyNumberFormat="1" applyFont="1" applyFill="1" applyBorder="1"/>
    <xf numFmtId="171" fontId="7" fillId="20" borderId="1" xfId="1" applyNumberFormat="1" applyFont="1" applyFill="1" applyBorder="1"/>
    <xf numFmtId="0" fontId="24" fillId="20" borderId="0" xfId="0" applyFont="1" applyFill="1"/>
    <xf numFmtId="0" fontId="30" fillId="20" borderId="1" xfId="0" applyFont="1" applyFill="1" applyBorder="1"/>
    <xf numFmtId="166" fontId="0" fillId="20" borderId="1" xfId="0" applyNumberFormat="1" applyFill="1" applyBorder="1"/>
    <xf numFmtId="0" fontId="46" fillId="20" borderId="0" xfId="0" applyFont="1" applyFill="1"/>
    <xf numFmtId="0" fontId="55" fillId="20" borderId="0" xfId="0" applyFont="1" applyFill="1" applyAlignment="1">
      <alignment vertical="center" wrapText="1"/>
    </xf>
    <xf numFmtId="1" fontId="46" fillId="20" borderId="1" xfId="0" applyNumberFormat="1" applyFont="1" applyFill="1" applyBorder="1" applyAlignment="1">
      <alignment horizontal="right"/>
    </xf>
    <xf numFmtId="1" fontId="46" fillId="20" borderId="1" xfId="0" applyNumberFormat="1" applyFont="1" applyFill="1" applyBorder="1"/>
    <xf numFmtId="1" fontId="58" fillId="20" borderId="1" xfId="0" applyNumberFormat="1" applyFont="1" applyFill="1" applyBorder="1" applyAlignment="1">
      <alignment horizontal="right" vertical="center" wrapText="1"/>
    </xf>
    <xf numFmtId="1" fontId="58" fillId="20" borderId="8" xfId="0" applyNumberFormat="1" applyFont="1" applyFill="1" applyBorder="1" applyAlignment="1">
      <alignment horizontal="right" vertical="center" wrapText="1"/>
    </xf>
    <xf numFmtId="171" fontId="7" fillId="20" borderId="1" xfId="0" applyNumberFormat="1" applyFont="1" applyFill="1" applyBorder="1" applyAlignment="1">
      <alignment horizontal="center"/>
    </xf>
    <xf numFmtId="171" fontId="50" fillId="20" borderId="1" xfId="0" applyNumberFormat="1" applyFont="1" applyFill="1" applyBorder="1" applyAlignment="1">
      <alignment horizontal="center" vertical="center" readingOrder="1"/>
    </xf>
    <xf numFmtId="0" fontId="50" fillId="20" borderId="1" xfId="0" applyFont="1" applyFill="1" applyBorder="1" applyAlignment="1">
      <alignment horizontal="left" vertical="center" readingOrder="1"/>
    </xf>
    <xf numFmtId="9" fontId="9" fillId="20" borderId="1" xfId="2" applyFont="1" applyFill="1" applyBorder="1" applyAlignment="1">
      <alignment horizontal="right"/>
    </xf>
    <xf numFmtId="9" fontId="0" fillId="20" borderId="1" xfId="0" applyNumberFormat="1" applyFill="1" applyBorder="1"/>
    <xf numFmtId="9" fontId="9" fillId="20" borderId="1" xfId="2" applyFont="1" applyFill="1" applyBorder="1"/>
    <xf numFmtId="0" fontId="54" fillId="20" borderId="0" xfId="0" applyFont="1" applyFill="1" applyAlignment="1">
      <alignment horizontal="left" vertical="center"/>
    </xf>
    <xf numFmtId="1" fontId="59" fillId="20" borderId="1" xfId="0" applyNumberFormat="1" applyFont="1" applyFill="1" applyBorder="1" applyAlignment="1">
      <alignment horizontal="right" vertical="center" wrapText="1"/>
    </xf>
    <xf numFmtId="1" fontId="59" fillId="20" borderId="8" xfId="0" applyNumberFormat="1" applyFont="1" applyFill="1" applyBorder="1" applyAlignment="1">
      <alignment horizontal="right" vertical="center" wrapText="1"/>
    </xf>
    <xf numFmtId="0" fontId="11" fillId="2" borderId="1" xfId="0" applyFont="1" applyFill="1" applyBorder="1" applyAlignment="1">
      <alignment horizontal="center"/>
    </xf>
    <xf numFmtId="0" fontId="0" fillId="2" borderId="1" xfId="0" applyFill="1" applyBorder="1"/>
    <xf numFmtId="3" fontId="0" fillId="20" borderId="0" xfId="0" applyNumberFormat="1" applyFill="1"/>
    <xf numFmtId="0" fontId="9" fillId="2" borderId="1" xfId="0" applyFont="1" applyFill="1" applyBorder="1"/>
    <xf numFmtId="0" fontId="60" fillId="2" borderId="1" xfId="0" applyFont="1" applyFill="1" applyBorder="1"/>
    <xf numFmtId="0" fontId="21" fillId="2" borderId="1" xfId="0" applyFont="1" applyFill="1" applyBorder="1"/>
    <xf numFmtId="1" fontId="0" fillId="20" borderId="0" xfId="0" applyNumberFormat="1" applyFill="1"/>
    <xf numFmtId="0" fontId="0" fillId="2" borderId="1" xfId="0" applyFill="1" applyBorder="1" applyAlignment="1">
      <alignment vertical="center" wrapText="1"/>
    </xf>
    <xf numFmtId="165" fontId="25" fillId="20" borderId="1" xfId="5" applyNumberFormat="1" applyFont="1" applyFill="1" applyBorder="1"/>
    <xf numFmtId="0" fontId="0" fillId="23" borderId="1" xfId="0" applyFill="1" applyBorder="1"/>
    <xf numFmtId="167" fontId="0" fillId="23" borderId="1" xfId="1" applyNumberFormat="1" applyFont="1" applyFill="1" applyBorder="1" applyAlignment="1">
      <alignment horizontal="center"/>
    </xf>
    <xf numFmtId="164" fontId="0" fillId="23" borderId="1" xfId="0" applyNumberFormat="1" applyFill="1" applyBorder="1" applyAlignment="1">
      <alignment horizontal="center"/>
    </xf>
    <xf numFmtId="173" fontId="0" fillId="0" borderId="0" xfId="0" applyNumberFormat="1"/>
    <xf numFmtId="0" fontId="61" fillId="20" borderId="0" xfId="0" applyFont="1" applyFill="1"/>
    <xf numFmtId="15" fontId="52" fillId="21" borderId="1" xfId="0" applyNumberFormat="1" applyFont="1" applyFill="1" applyBorder="1" applyAlignment="1">
      <alignment horizontal="center" vertical="center"/>
    </xf>
    <xf numFmtId="0" fontId="52" fillId="0" borderId="1" xfId="0" applyFont="1" applyBorder="1" applyAlignment="1">
      <alignment horizontal="center" vertical="center"/>
    </xf>
    <xf numFmtId="15" fontId="52" fillId="18" borderId="1" xfId="0" applyNumberFormat="1" applyFont="1" applyFill="1" applyBorder="1" applyAlignment="1">
      <alignment horizontal="center" vertical="center"/>
    </xf>
    <xf numFmtId="1" fontId="0" fillId="0" borderId="1" xfId="0" applyNumberFormat="1" applyBorder="1"/>
    <xf numFmtId="0" fontId="58" fillId="20" borderId="1" xfId="0" applyFont="1" applyFill="1" applyBorder="1" applyAlignment="1">
      <alignment horizontal="justify" vertical="center" wrapText="1"/>
    </xf>
    <xf numFmtId="0" fontId="62" fillId="0" borderId="0" xfId="0" applyFont="1"/>
    <xf numFmtId="164" fontId="17" fillId="0" borderId="1" xfId="0" applyNumberFormat="1" applyFont="1" applyBorder="1" applyAlignment="1">
      <alignment horizontal="center"/>
    </xf>
    <xf numFmtId="0" fontId="4" fillId="0" borderId="0" xfId="0" applyFont="1" applyAlignment="1">
      <alignment horizontal="center"/>
    </xf>
    <xf numFmtId="164" fontId="4" fillId="0" borderId="0" xfId="0" applyNumberFormat="1" applyFont="1" applyAlignment="1">
      <alignment horizontal="center"/>
    </xf>
    <xf numFmtId="0" fontId="3" fillId="19" borderId="0" xfId="0" applyFont="1" applyFill="1"/>
    <xf numFmtId="9" fontId="0" fillId="0" borderId="0" xfId="2" applyFont="1" applyFill="1"/>
    <xf numFmtId="9" fontId="9" fillId="0" borderId="1" xfId="2" applyFont="1" applyBorder="1"/>
    <xf numFmtId="9" fontId="0" fillId="0" borderId="1" xfId="0" applyNumberFormat="1" applyBorder="1"/>
    <xf numFmtId="0" fontId="31" fillId="0" borderId="0" xfId="0" applyFont="1"/>
    <xf numFmtId="0" fontId="5" fillId="0" borderId="0" xfId="3" applyAlignment="1">
      <alignment vertical="center"/>
    </xf>
    <xf numFmtId="0" fontId="63" fillId="24" borderId="0" xfId="0" applyFont="1" applyFill="1"/>
    <xf numFmtId="166" fontId="63" fillId="24" borderId="0" xfId="0" applyNumberFormat="1" applyFont="1" applyFill="1"/>
    <xf numFmtId="0" fontId="64" fillId="0" borderId="0" xfId="0" applyFont="1"/>
    <xf numFmtId="0" fontId="65" fillId="0" borderId="0" xfId="0" applyFont="1"/>
    <xf numFmtId="0" fontId="66" fillId="25" borderId="0" xfId="0" applyFont="1" applyFill="1" applyAlignment="1">
      <alignment vertical="center" wrapText="1"/>
    </xf>
    <xf numFmtId="0" fontId="66" fillId="0" borderId="0" xfId="0" applyFont="1" applyAlignment="1">
      <alignment vertical="center" wrapText="1"/>
    </xf>
    <xf numFmtId="0" fontId="66" fillId="26" borderId="0" xfId="0" applyFont="1" applyFill="1" applyAlignment="1">
      <alignment vertical="center" wrapText="1"/>
    </xf>
    <xf numFmtId="0" fontId="66" fillId="27" borderId="0" xfId="0" applyFont="1" applyFill="1" applyAlignment="1">
      <alignment vertical="center" wrapText="1"/>
    </xf>
    <xf numFmtId="0" fontId="66" fillId="19" borderId="0" xfId="0" applyFont="1" applyFill="1" applyAlignment="1">
      <alignment vertical="center" wrapText="1"/>
    </xf>
    <xf numFmtId="0" fontId="66" fillId="28" borderId="0" xfId="0" applyFont="1" applyFill="1" applyAlignment="1">
      <alignment vertical="center" wrapText="1"/>
    </xf>
    <xf numFmtId="0" fontId="66" fillId="18" borderId="0" xfId="0" applyFont="1" applyFill="1" applyAlignment="1">
      <alignment vertical="center" wrapText="1"/>
    </xf>
    <xf numFmtId="0" fontId="6" fillId="2" borderId="1" xfId="0" applyFont="1" applyFill="1" applyBorder="1" applyAlignment="1">
      <alignment horizontal="center" vertical="center" wrapText="1"/>
    </xf>
    <xf numFmtId="0" fontId="67" fillId="0" borderId="0" xfId="0" applyFont="1" applyAlignment="1">
      <alignment vertical="center"/>
    </xf>
    <xf numFmtId="0" fontId="5" fillId="0" borderId="1" xfId="3" applyBorder="1" applyAlignment="1">
      <alignment horizontal="center" vertical="center" wrapText="1"/>
    </xf>
    <xf numFmtId="0" fontId="5" fillId="0" borderId="1" xfId="3" applyBorder="1" applyAlignment="1">
      <alignment horizontal="center" wrapText="1"/>
    </xf>
    <xf numFmtId="0" fontId="68" fillId="0" borderId="1" xfId="0" applyFont="1" applyBorder="1" applyAlignment="1">
      <alignment horizontal="center" vertical="center" wrapText="1"/>
    </xf>
    <xf numFmtId="0" fontId="3" fillId="0" borderId="0" xfId="0" applyFont="1"/>
    <xf numFmtId="0" fontId="3" fillId="20" borderId="0" xfId="0" applyFont="1" applyFill="1"/>
    <xf numFmtId="0" fontId="24" fillId="0" borderId="0" xfId="5" applyFont="1"/>
    <xf numFmtId="0" fontId="62" fillId="0" borderId="0" xfId="0" applyFont="1" applyAlignment="1">
      <alignment horizontal="left" vertical="center"/>
    </xf>
    <xf numFmtId="0" fontId="5" fillId="0" borderId="0" xfId="3" applyAlignment="1">
      <alignment horizontal="justify" vertical="center"/>
    </xf>
    <xf numFmtId="0" fontId="5" fillId="0" borderId="0" xfId="3" applyAlignment="1">
      <alignment horizontal="left" vertical="center"/>
    </xf>
    <xf numFmtId="0" fontId="6" fillId="2" borderId="1" xfId="0" applyFont="1" applyFill="1" applyBorder="1" applyAlignment="1">
      <alignment horizontal="center" vertical="top" wrapText="1"/>
    </xf>
    <xf numFmtId="0" fontId="16" fillId="20" borderId="0" xfId="0" applyFont="1" applyFill="1"/>
    <xf numFmtId="0" fontId="70" fillId="0" borderId="0" xfId="0" applyFont="1" applyAlignment="1">
      <alignment horizontal="left" vertical="center"/>
    </xf>
    <xf numFmtId="0" fontId="71" fillId="0" borderId="0" xfId="0" applyFont="1" applyAlignment="1">
      <alignment horizontal="left" vertical="center"/>
    </xf>
    <xf numFmtId="0" fontId="72" fillId="0" borderId="0" xfId="0" applyFont="1"/>
    <xf numFmtId="0" fontId="32" fillId="0" borderId="0" xfId="0" applyFont="1"/>
    <xf numFmtId="0" fontId="7" fillId="2" borderId="1" xfId="0" applyFont="1" applyFill="1" applyBorder="1" applyAlignment="1">
      <alignment wrapText="1"/>
    </xf>
    <xf numFmtId="0" fontId="5" fillId="0" borderId="0" xfId="3" applyAlignment="1">
      <alignment horizontal="center" vertical="top" wrapText="1"/>
    </xf>
    <xf numFmtId="0" fontId="5" fillId="20" borderId="1" xfId="3" applyFill="1" applyBorder="1" applyAlignment="1">
      <alignment horizontal="center" vertical="top" wrapText="1"/>
    </xf>
    <xf numFmtId="0" fontId="5" fillId="0" borderId="1" xfId="3" applyBorder="1" applyAlignment="1">
      <alignment horizontal="center" vertical="top" wrapText="1"/>
    </xf>
    <xf numFmtId="0" fontId="72" fillId="0" borderId="0" xfId="0" applyFont="1" applyAlignment="1">
      <alignment vertical="center"/>
    </xf>
    <xf numFmtId="0" fontId="60" fillId="2" borderId="1" xfId="0" applyFont="1" applyFill="1" applyBorder="1" applyAlignment="1">
      <alignment vertical="center" wrapText="1"/>
    </xf>
    <xf numFmtId="168" fontId="0" fillId="0" borderId="1" xfId="2" applyNumberFormat="1" applyFont="1" applyFill="1" applyBorder="1"/>
    <xf numFmtId="168" fontId="3" fillId="0" borderId="1" xfId="2" applyNumberFormat="1" applyFont="1" applyFill="1" applyBorder="1"/>
    <xf numFmtId="168" fontId="3" fillId="0" borderId="1" xfId="0" applyNumberFormat="1" applyFont="1" applyBorder="1"/>
    <xf numFmtId="0" fontId="5" fillId="0" borderId="1" xfId="3" applyBorder="1" applyAlignment="1">
      <alignment vertical="top" wrapText="1"/>
    </xf>
    <xf numFmtId="0" fontId="60" fillId="2" borderId="1" xfId="0" applyFont="1" applyFill="1" applyBorder="1" applyAlignment="1">
      <alignment horizontal="center" vertical="center" wrapText="1"/>
    </xf>
    <xf numFmtId="0" fontId="53" fillId="0" borderId="0" xfId="0" applyFont="1" applyAlignment="1">
      <alignment vertical="center"/>
    </xf>
    <xf numFmtId="0" fontId="52" fillId="0" borderId="1" xfId="0" applyFont="1" applyBorder="1" applyAlignment="1">
      <alignment horizontal="center" vertical="top" wrapText="1"/>
    </xf>
    <xf numFmtId="0" fontId="73" fillId="2" borderId="1" xfId="0" applyFont="1" applyFill="1" applyBorder="1"/>
    <xf numFmtId="0" fontId="74" fillId="2" borderId="1" xfId="0" applyFont="1" applyFill="1" applyBorder="1" applyAlignment="1">
      <alignment vertical="center"/>
    </xf>
    <xf numFmtId="0" fontId="75" fillId="2" borderId="1" xfId="0" applyFont="1" applyFill="1" applyBorder="1" applyAlignment="1">
      <alignment vertical="top" wrapText="1"/>
    </xf>
    <xf numFmtId="9" fontId="0" fillId="0" borderId="1" xfId="2" applyFont="1" applyBorder="1"/>
    <xf numFmtId="0" fontId="18" fillId="2" borderId="1" xfId="0" applyFont="1" applyFill="1" applyBorder="1" applyAlignment="1">
      <alignment vertical="center"/>
    </xf>
    <xf numFmtId="0" fontId="3" fillId="2" borderId="1" xfId="0" applyFont="1" applyFill="1" applyBorder="1"/>
    <xf numFmtId="166" fontId="0" fillId="0" borderId="1" xfId="0" applyNumberFormat="1" applyBorder="1"/>
    <xf numFmtId="0" fontId="28" fillId="11" borderId="11" xfId="0" applyFont="1" applyFill="1" applyBorder="1" applyAlignment="1">
      <alignment horizontal="center" wrapText="1"/>
    </xf>
    <xf numFmtId="0" fontId="76" fillId="0" borderId="1" xfId="0" applyFont="1" applyBorder="1"/>
    <xf numFmtId="0" fontId="6" fillId="0" borderId="1" xfId="0" applyFont="1" applyBorder="1" applyAlignment="1">
      <alignment horizontal="center" vertical="top" wrapText="1"/>
    </xf>
    <xf numFmtId="0" fontId="5" fillId="0" borderId="0" xfId="3" applyNumberFormat="1" applyAlignment="1">
      <alignment vertical="top"/>
    </xf>
    <xf numFmtId="0" fontId="52" fillId="29" borderId="1" xfId="0" applyFont="1" applyFill="1" applyBorder="1" applyAlignment="1">
      <alignment horizontal="center" vertical="top" wrapText="1"/>
    </xf>
    <xf numFmtId="0" fontId="52" fillId="18" borderId="1" xfId="0" applyFont="1" applyFill="1" applyBorder="1" applyAlignment="1">
      <alignment horizontal="center" vertical="center"/>
    </xf>
    <xf numFmtId="0" fontId="4" fillId="20" borderId="0" xfId="0" applyFont="1" applyFill="1"/>
    <xf numFmtId="0" fontId="77" fillId="0" borderId="0" xfId="0" applyFont="1"/>
    <xf numFmtId="0" fontId="5" fillId="0" borderId="0" xfId="3" applyAlignment="1">
      <alignment horizontal="left" vertical="center" indent="6"/>
    </xf>
    <xf numFmtId="0" fontId="7" fillId="19" borderId="1" xfId="0" applyFont="1" applyFill="1" applyBorder="1" applyAlignment="1">
      <alignment horizontal="left"/>
    </xf>
    <xf numFmtId="167" fontId="7" fillId="19" borderId="1" xfId="1" applyNumberFormat="1" applyFont="1" applyFill="1" applyBorder="1"/>
    <xf numFmtId="167" fontId="19" fillId="0" borderId="0" xfId="0" applyNumberFormat="1" applyFont="1"/>
    <xf numFmtId="0" fontId="78" fillId="0" borderId="0" xfId="0" applyFont="1" applyAlignment="1">
      <alignment vertical="center" wrapText="1"/>
    </xf>
    <xf numFmtId="0" fontId="5" fillId="0" borderId="0" xfId="3" applyAlignment="1">
      <alignment vertical="center" wrapText="1"/>
    </xf>
    <xf numFmtId="0" fontId="79" fillId="7" borderId="1" xfId="0" applyFont="1" applyFill="1" applyBorder="1" applyAlignment="1">
      <alignment vertical="center"/>
    </xf>
    <xf numFmtId="0" fontId="80" fillId="7" borderId="1" xfId="0" applyFont="1" applyFill="1" applyBorder="1" applyAlignment="1">
      <alignment horizontal="left" vertical="center" wrapText="1"/>
    </xf>
    <xf numFmtId="0" fontId="79" fillId="7" borderId="1" xfId="0" applyFont="1" applyFill="1" applyBorder="1" applyAlignment="1">
      <alignment horizontal="center" vertical="center"/>
    </xf>
    <xf numFmtId="0" fontId="0" fillId="30" borderId="1" xfId="0" applyFill="1" applyBorder="1" applyAlignment="1">
      <alignment horizontal="left" vertical="center" wrapText="1"/>
    </xf>
    <xf numFmtId="0" fontId="0" fillId="30" borderId="1" xfId="0" applyFill="1" applyBorder="1" applyAlignment="1">
      <alignment horizontal="center" vertical="center"/>
    </xf>
    <xf numFmtId="0" fontId="0" fillId="31" borderId="1" xfId="0" applyFill="1" applyBorder="1" applyAlignment="1">
      <alignment horizontal="left" vertical="center" wrapText="1"/>
    </xf>
    <xf numFmtId="0" fontId="0" fillId="31" borderId="1" xfId="0" applyFill="1" applyBorder="1" applyAlignment="1">
      <alignment horizontal="center" vertical="center"/>
    </xf>
    <xf numFmtId="0" fontId="0" fillId="18" borderId="1" xfId="0" applyFill="1" applyBorder="1" applyAlignment="1">
      <alignment horizontal="left" vertical="center" wrapText="1"/>
    </xf>
    <xf numFmtId="0" fontId="0" fillId="18" borderId="1" xfId="0" applyFill="1" applyBorder="1" applyAlignment="1">
      <alignment horizontal="center" vertical="center"/>
    </xf>
    <xf numFmtId="0" fontId="82" fillId="0" borderId="15" xfId="0" applyFont="1" applyBorder="1" applyAlignment="1">
      <alignment horizontal="center" vertical="center" wrapText="1"/>
    </xf>
    <xf numFmtId="0" fontId="82" fillId="0" borderId="16" xfId="0" applyFont="1" applyBorder="1" applyAlignment="1">
      <alignment horizontal="center" vertical="center" wrapText="1"/>
    </xf>
    <xf numFmtId="0" fontId="81" fillId="0" borderId="16" xfId="0" applyFont="1" applyBorder="1" applyAlignment="1">
      <alignment wrapText="1"/>
    </xf>
    <xf numFmtId="0" fontId="82" fillId="31" borderId="19" xfId="0" applyFont="1" applyFill="1" applyBorder="1" applyAlignment="1">
      <alignment vertical="center" wrapText="1"/>
    </xf>
    <xf numFmtId="0" fontId="0" fillId="31" borderId="19" xfId="0" applyFill="1" applyBorder="1" applyAlignment="1">
      <alignment vertical="center" wrapText="1"/>
    </xf>
    <xf numFmtId="0" fontId="0" fillId="31" borderId="18" xfId="0" applyFill="1" applyBorder="1" applyAlignment="1">
      <alignment vertical="center" wrapText="1"/>
    </xf>
    <xf numFmtId="0" fontId="82" fillId="0" borderId="20" xfId="0" applyFont="1" applyBorder="1" applyAlignment="1">
      <alignment vertical="center" wrapText="1"/>
    </xf>
    <xf numFmtId="0" fontId="0" fillId="31" borderId="20" xfId="0" applyFill="1" applyBorder="1" applyAlignment="1">
      <alignment vertical="center" wrapText="1"/>
    </xf>
    <xf numFmtId="0" fontId="82" fillId="31" borderId="20" xfId="0" applyFont="1" applyFill="1" applyBorder="1" applyAlignment="1">
      <alignment vertical="center" wrapText="1"/>
    </xf>
    <xf numFmtId="0" fontId="0" fillId="29" borderId="20" xfId="0" applyFill="1" applyBorder="1" applyAlignment="1">
      <alignment vertical="center" wrapText="1"/>
    </xf>
    <xf numFmtId="0" fontId="82" fillId="29" borderId="20" xfId="0" applyFont="1" applyFill="1" applyBorder="1" applyAlignment="1">
      <alignment vertical="center" wrapText="1"/>
    </xf>
    <xf numFmtId="0" fontId="82" fillId="29" borderId="20" xfId="0" applyFont="1" applyFill="1" applyBorder="1" applyAlignment="1">
      <alignment vertical="center"/>
    </xf>
    <xf numFmtId="0" fontId="82" fillId="31" borderId="21" xfId="0" applyFont="1" applyFill="1" applyBorder="1" applyAlignment="1">
      <alignment vertical="center" wrapText="1"/>
    </xf>
    <xf numFmtId="0" fontId="0" fillId="31" borderId="21" xfId="0" applyFill="1" applyBorder="1" applyAlignment="1">
      <alignment vertical="center" wrapText="1"/>
    </xf>
    <xf numFmtId="0" fontId="82" fillId="18" borderId="20" xfId="0" applyFont="1" applyFill="1" applyBorder="1" applyAlignment="1">
      <alignment vertical="center" wrapText="1"/>
    </xf>
    <xf numFmtId="0" fontId="82" fillId="18" borderId="20" xfId="0" applyFont="1" applyFill="1" applyBorder="1" applyAlignment="1">
      <alignment vertical="center"/>
    </xf>
    <xf numFmtId="0" fontId="82" fillId="31" borderId="20" xfId="0" applyFont="1" applyFill="1" applyBorder="1" applyAlignment="1">
      <alignment vertical="center"/>
    </xf>
    <xf numFmtId="0" fontId="82" fillId="32" borderId="20" xfId="0" applyFont="1" applyFill="1" applyBorder="1" applyAlignment="1">
      <alignment vertical="center" wrapText="1"/>
    </xf>
    <xf numFmtId="0" fontId="82" fillId="29" borderId="21" xfId="0" applyFont="1" applyFill="1" applyBorder="1" applyAlignment="1">
      <alignment vertical="center" wrapText="1"/>
    </xf>
    <xf numFmtId="0" fontId="0" fillId="29" borderId="21" xfId="0" applyFill="1" applyBorder="1" applyAlignment="1">
      <alignment vertical="center" wrapText="1"/>
    </xf>
    <xf numFmtId="0" fontId="82" fillId="29" borderId="19" xfId="0" applyFont="1" applyFill="1" applyBorder="1" applyAlignment="1">
      <alignment vertical="center" wrapText="1"/>
    </xf>
    <xf numFmtId="0" fontId="0" fillId="29" borderId="19" xfId="0" applyFill="1" applyBorder="1" applyAlignment="1">
      <alignment vertical="center" wrapText="1"/>
    </xf>
    <xf numFmtId="0" fontId="0" fillId="29" borderId="18" xfId="0" applyFill="1" applyBorder="1" applyAlignment="1">
      <alignment vertical="center" wrapText="1"/>
    </xf>
    <xf numFmtId="0" fontId="84" fillId="0" borderId="24" xfId="0" applyFont="1" applyBorder="1" applyAlignment="1">
      <alignment vertical="center"/>
    </xf>
    <xf numFmtId="0" fontId="84" fillId="0" borderId="25" xfId="0" applyFont="1" applyBorder="1" applyAlignment="1">
      <alignment vertical="center"/>
    </xf>
    <xf numFmtId="0" fontId="71" fillId="0" borderId="26" xfId="0" applyFont="1" applyBorder="1" applyAlignment="1">
      <alignment vertical="center"/>
    </xf>
    <xf numFmtId="0" fontId="71" fillId="0" borderId="27" xfId="0" applyFont="1" applyBorder="1" applyAlignment="1">
      <alignment vertical="center"/>
    </xf>
    <xf numFmtId="0" fontId="71" fillId="0" borderId="27" xfId="0" applyFont="1" applyBorder="1" applyAlignment="1">
      <alignment horizontal="right" vertical="center"/>
    </xf>
    <xf numFmtId="0" fontId="2" fillId="7" borderId="1" xfId="0" applyFont="1" applyFill="1" applyBorder="1" applyAlignment="1">
      <alignment wrapText="1"/>
    </xf>
    <xf numFmtId="0" fontId="6" fillId="2" borderId="1"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3" fillId="0" borderId="0" xfId="0" applyFont="1" applyAlignment="1">
      <alignment horizontal="left" vertical="top" wrapText="1"/>
    </xf>
    <xf numFmtId="0" fontId="16" fillId="2" borderId="2" xfId="0" applyFont="1" applyFill="1" applyBorder="1" applyAlignment="1">
      <alignment horizontal="left" vertical="center"/>
    </xf>
    <xf numFmtId="0" fontId="16" fillId="2" borderId="4" xfId="0" applyFont="1" applyFill="1" applyBorder="1" applyAlignment="1">
      <alignment horizontal="left" vertical="center"/>
    </xf>
    <xf numFmtId="0" fontId="6" fillId="2" borderId="1" xfId="0" applyFont="1" applyFill="1" applyBorder="1" applyAlignment="1">
      <alignment horizontal="center" vertical="center" wrapText="1"/>
    </xf>
    <xf numFmtId="0" fontId="3" fillId="0" borderId="0" xfId="0" applyFont="1" applyAlignment="1">
      <alignment horizontal="left"/>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3" fillId="22" borderId="5" xfId="0" applyFont="1" applyFill="1" applyBorder="1" applyAlignment="1">
      <alignment horizontal="center" vertical="center"/>
    </xf>
    <xf numFmtId="0" fontId="53" fillId="22" borderId="6" xfId="0" applyFont="1" applyFill="1" applyBorder="1" applyAlignment="1">
      <alignment horizontal="center" vertical="center"/>
    </xf>
    <xf numFmtId="0" fontId="53" fillId="22" borderId="7" xfId="0" applyFont="1" applyFill="1" applyBorder="1" applyAlignment="1">
      <alignment horizontal="center" vertical="center"/>
    </xf>
    <xf numFmtId="0" fontId="26" fillId="3" borderId="5" xfId="0" applyFont="1" applyFill="1" applyBorder="1" applyAlignment="1">
      <alignment horizontal="center"/>
    </xf>
    <xf numFmtId="0" fontId="26" fillId="3" borderId="6" xfId="0" applyFont="1" applyFill="1" applyBorder="1" applyAlignment="1">
      <alignment horizontal="center"/>
    </xf>
    <xf numFmtId="0" fontId="26" fillId="3" borderId="7" xfId="0" applyFont="1" applyFill="1" applyBorder="1" applyAlignment="1">
      <alignment horizontal="center"/>
    </xf>
    <xf numFmtId="167" fontId="26" fillId="3" borderId="0" xfId="1" applyNumberFormat="1" applyFont="1" applyFill="1" applyAlignment="1">
      <alignment horizontal="center" vertical="center"/>
    </xf>
    <xf numFmtId="167" fontId="2" fillId="3" borderId="3" xfId="1" applyNumberFormat="1" applyFont="1" applyFill="1" applyBorder="1" applyAlignment="1">
      <alignment horizontal="center"/>
    </xf>
    <xf numFmtId="167" fontId="2" fillId="3" borderId="1" xfId="1" applyNumberFormat="1" applyFont="1" applyFill="1" applyBorder="1" applyAlignment="1">
      <alignment horizontal="center"/>
    </xf>
    <xf numFmtId="168" fontId="2" fillId="3" borderId="1" xfId="2" applyNumberFormat="1" applyFont="1" applyFill="1" applyBorder="1" applyAlignment="1">
      <alignment horizontal="center"/>
    </xf>
    <xf numFmtId="0" fontId="26" fillId="3" borderId="1" xfId="0" applyFont="1" applyFill="1" applyBorder="1" applyAlignment="1">
      <alignment horizontal="center" vertical="center" wrapText="1"/>
    </xf>
    <xf numFmtId="0" fontId="2" fillId="3" borderId="1" xfId="0" applyFont="1" applyFill="1" applyBorder="1" applyAlignment="1">
      <alignment horizontal="center"/>
    </xf>
    <xf numFmtId="0" fontId="2" fillId="3" borderId="3" xfId="0" applyFont="1" applyFill="1" applyBorder="1" applyAlignment="1">
      <alignment horizontal="center"/>
    </xf>
    <xf numFmtId="0" fontId="26" fillId="3" borderId="1" xfId="0" applyFont="1" applyFill="1" applyBorder="1" applyAlignment="1">
      <alignment horizontal="center"/>
    </xf>
    <xf numFmtId="0" fontId="4" fillId="3" borderId="3" xfId="0" applyFont="1" applyFill="1" applyBorder="1" applyAlignment="1">
      <alignment horizontal="center"/>
    </xf>
    <xf numFmtId="0" fontId="27" fillId="4" borderId="0" xfId="0" applyFont="1" applyFill="1" applyAlignment="1">
      <alignment horizontal="center" vertical="center"/>
    </xf>
    <xf numFmtId="0" fontId="27" fillId="4" borderId="1" xfId="0" applyFont="1" applyFill="1" applyBorder="1" applyAlignment="1">
      <alignment horizontal="center"/>
    </xf>
    <xf numFmtId="0" fontId="29" fillId="4" borderId="1" xfId="0" applyFont="1" applyFill="1" applyBorder="1" applyAlignment="1">
      <alignment horizontal="center"/>
    </xf>
    <xf numFmtId="170" fontId="27" fillId="4" borderId="1" xfId="1" applyNumberFormat="1" applyFont="1" applyFill="1" applyBorder="1" applyAlignment="1">
      <alignment horizontal="center"/>
    </xf>
    <xf numFmtId="170" fontId="28" fillId="4" borderId="3" xfId="1" applyNumberFormat="1" applyFont="1" applyFill="1" applyBorder="1" applyAlignment="1">
      <alignment horizontal="center"/>
    </xf>
    <xf numFmtId="170" fontId="27" fillId="5" borderId="1" xfId="1" applyNumberFormat="1" applyFont="1" applyFill="1" applyBorder="1" applyAlignment="1">
      <alignment horizontal="center" vertical="center"/>
    </xf>
    <xf numFmtId="0" fontId="7" fillId="0" borderId="5" xfId="0" applyFont="1" applyBorder="1" applyAlignment="1">
      <alignment horizontal="left"/>
    </xf>
    <xf numFmtId="0" fontId="7" fillId="0" borderId="7" xfId="0" applyFont="1" applyBorder="1" applyAlignment="1">
      <alignment horizontal="left"/>
    </xf>
    <xf numFmtId="0" fontId="26" fillId="5" borderId="1" xfId="0" applyFont="1" applyFill="1" applyBorder="1" applyAlignment="1">
      <alignment horizont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1" xfId="0" applyFont="1" applyFill="1" applyBorder="1" applyAlignment="1">
      <alignment horizontal="center"/>
    </xf>
    <xf numFmtId="0" fontId="26" fillId="5" borderId="1" xfId="0" applyFont="1" applyFill="1" applyBorder="1" applyAlignment="1">
      <alignment horizontal="center" vertical="center" wrapText="1"/>
    </xf>
    <xf numFmtId="167" fontId="2" fillId="5" borderId="1" xfId="1" applyNumberFormat="1" applyFont="1" applyFill="1" applyBorder="1" applyAlignment="1">
      <alignment horizontal="center"/>
    </xf>
    <xf numFmtId="0" fontId="2" fillId="6" borderId="1" xfId="0" applyFont="1" applyFill="1" applyBorder="1" applyAlignment="1">
      <alignment horizontal="center" wrapText="1"/>
    </xf>
    <xf numFmtId="0" fontId="4" fillId="6" borderId="1" xfId="0" applyFont="1" applyFill="1" applyBorder="1" applyAlignment="1">
      <alignment horizontal="center"/>
    </xf>
    <xf numFmtId="0" fontId="26" fillId="6" borderId="1" xfId="0" applyFont="1" applyFill="1" applyBorder="1" applyAlignment="1">
      <alignment horizontal="center"/>
    </xf>
    <xf numFmtId="0" fontId="2" fillId="6" borderId="1" xfId="0" applyFont="1" applyFill="1" applyBorder="1" applyAlignment="1">
      <alignment horizontal="center"/>
    </xf>
    <xf numFmtId="2" fontId="2" fillId="6" borderId="0" xfId="0" applyNumberFormat="1" applyFont="1" applyFill="1" applyAlignment="1">
      <alignment horizontal="center" wrapText="1"/>
    </xf>
    <xf numFmtId="0" fontId="2" fillId="6" borderId="0" xfId="0" applyFont="1" applyFill="1" applyAlignment="1">
      <alignment horizontal="center"/>
    </xf>
    <xf numFmtId="0" fontId="2" fillId="6" borderId="7" xfId="0" applyFont="1" applyFill="1" applyBorder="1" applyAlignment="1">
      <alignment horizontal="center"/>
    </xf>
    <xf numFmtId="0" fontId="2" fillId="6" borderId="5" xfId="0" applyFont="1" applyFill="1" applyBorder="1" applyAlignment="1">
      <alignment horizontal="center"/>
    </xf>
    <xf numFmtId="0" fontId="6" fillId="2" borderId="5" xfId="0" applyFont="1" applyFill="1" applyBorder="1" applyAlignment="1">
      <alignment horizontal="center" vertical="top" wrapText="1"/>
    </xf>
    <xf numFmtId="0" fontId="6" fillId="2" borderId="7" xfId="0" applyFont="1" applyFill="1" applyBorder="1" applyAlignment="1">
      <alignment horizontal="center" vertical="top" wrapText="1"/>
    </xf>
    <xf numFmtId="0" fontId="2" fillId="7" borderId="1" xfId="0" applyFont="1" applyFill="1" applyBorder="1" applyAlignment="1">
      <alignment horizontal="center" vertical="center" wrapText="1"/>
    </xf>
    <xf numFmtId="0" fontId="51" fillId="0" borderId="11" xfId="0" applyFont="1" applyBorder="1" applyAlignment="1">
      <alignment horizontal="center" vertical="center" wrapText="1" readingOrder="1"/>
    </xf>
    <xf numFmtId="0" fontId="51" fillId="0" borderId="10" xfId="0" applyFont="1" applyBorder="1" applyAlignment="1">
      <alignment horizontal="center" vertical="center" wrapText="1" readingOrder="1"/>
    </xf>
    <xf numFmtId="0" fontId="39" fillId="7" borderId="5" xfId="0" applyFont="1" applyFill="1" applyBorder="1" applyAlignment="1">
      <alignment horizontal="center" wrapText="1"/>
    </xf>
    <xf numFmtId="0" fontId="39" fillId="7" borderId="7" xfId="0" applyFont="1" applyFill="1" applyBorder="1" applyAlignment="1">
      <alignment horizontal="center" wrapText="1"/>
    </xf>
    <xf numFmtId="0" fontId="35" fillId="7" borderId="0" xfId="6" applyFont="1" applyFill="1" applyAlignment="1">
      <alignment horizontal="center" wrapText="1"/>
    </xf>
    <xf numFmtId="0" fontId="27" fillId="7" borderId="1" xfId="0" applyFont="1" applyFill="1" applyBorder="1" applyAlignment="1">
      <alignment horizontal="center" vertical="center" wrapText="1"/>
    </xf>
    <xf numFmtId="0" fontId="27" fillId="7" borderId="1" xfId="0" applyFont="1" applyFill="1" applyBorder="1" applyAlignment="1">
      <alignment horizontal="center" vertical="center"/>
    </xf>
    <xf numFmtId="0" fontId="28" fillId="7" borderId="3"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1" xfId="0" applyFont="1" applyFill="1" applyBorder="1" applyAlignment="1">
      <alignment horizontal="center" vertical="center"/>
    </xf>
    <xf numFmtId="0" fontId="28" fillId="7" borderId="0" xfId="0" applyFont="1" applyFill="1" applyAlignment="1">
      <alignment horizontal="center" vertical="center" wrapText="1"/>
    </xf>
    <xf numFmtId="0" fontId="27" fillId="7" borderId="1" xfId="0" applyFont="1" applyFill="1" applyBorder="1" applyAlignment="1">
      <alignment horizontal="center"/>
    </xf>
    <xf numFmtId="0" fontId="26" fillId="7" borderId="1" xfId="0" applyFont="1" applyFill="1" applyBorder="1" applyAlignment="1">
      <alignment horizontal="center"/>
    </xf>
    <xf numFmtId="0" fontId="4" fillId="7" borderId="1" xfId="0" applyFont="1" applyFill="1" applyBorder="1" applyAlignment="1">
      <alignment horizontal="center"/>
    </xf>
    <xf numFmtId="0" fontId="2" fillId="8" borderId="1" xfId="0" applyFont="1" applyFill="1" applyBorder="1" applyAlignment="1">
      <alignment horizontal="center" vertical="center"/>
    </xf>
    <xf numFmtId="0" fontId="4" fillId="8" borderId="1" xfId="0" applyFont="1" applyFill="1" applyBorder="1" applyAlignment="1">
      <alignment horizontal="center"/>
    </xf>
    <xf numFmtId="0" fontId="2" fillId="8" borderId="1" xfId="0" applyFont="1" applyFill="1" applyBorder="1" applyAlignment="1">
      <alignment horizontal="center"/>
    </xf>
    <xf numFmtId="0" fontId="2" fillId="8" borderId="1" xfId="0" applyFont="1" applyFill="1" applyBorder="1" applyAlignment="1">
      <alignment horizontal="left" vertical="center" wrapText="1"/>
    </xf>
    <xf numFmtId="0" fontId="43" fillId="8" borderId="10" xfId="5" applyFont="1" applyFill="1" applyBorder="1" applyAlignment="1">
      <alignment horizontal="center"/>
    </xf>
    <xf numFmtId="0" fontId="43" fillId="8" borderId="9" xfId="5" applyFont="1" applyFill="1" applyBorder="1" applyAlignment="1">
      <alignment horizontal="center"/>
    </xf>
    <xf numFmtId="0" fontId="43" fillId="8" borderId="4" xfId="5" applyFont="1" applyFill="1" applyBorder="1" applyAlignment="1">
      <alignment horizontal="center"/>
    </xf>
    <xf numFmtId="0" fontId="45" fillId="9" borderId="1" xfId="0" applyFont="1" applyFill="1" applyBorder="1" applyAlignment="1">
      <alignment horizontal="center" vertical="center"/>
    </xf>
    <xf numFmtId="0" fontId="39" fillId="9" borderId="5" xfId="0" applyFont="1" applyFill="1" applyBorder="1" applyAlignment="1">
      <alignment horizontal="center" vertical="center"/>
    </xf>
    <xf numFmtId="0" fontId="39" fillId="9" borderId="7" xfId="0" applyFont="1" applyFill="1" applyBorder="1" applyAlignment="1">
      <alignment horizontal="center" vertical="center"/>
    </xf>
    <xf numFmtId="167" fontId="26" fillId="9" borderId="1" xfId="1" applyNumberFormat="1" applyFont="1" applyFill="1" applyBorder="1" applyAlignment="1">
      <alignment horizontal="center"/>
    </xf>
    <xf numFmtId="0" fontId="2" fillId="9" borderId="1" xfId="0" applyFont="1" applyFill="1" applyBorder="1" applyAlignment="1">
      <alignment horizontal="center" wrapText="1"/>
    </xf>
    <xf numFmtId="0" fontId="26" fillId="11" borderId="1" xfId="0" applyFont="1" applyFill="1" applyBorder="1" applyAlignment="1">
      <alignment horizontal="center"/>
    </xf>
    <xf numFmtId="167" fontId="2" fillId="11" borderId="1" xfId="1" applyNumberFormat="1" applyFont="1" applyFill="1" applyBorder="1" applyAlignment="1">
      <alignment horizontal="center"/>
    </xf>
    <xf numFmtId="164" fontId="2" fillId="11" borderId="1" xfId="0" applyNumberFormat="1" applyFont="1" applyFill="1" applyBorder="1" applyAlignment="1">
      <alignment horizontal="center"/>
    </xf>
    <xf numFmtId="167" fontId="26" fillId="11" borderId="1" xfId="1" applyNumberFormat="1" applyFont="1" applyFill="1" applyBorder="1" applyAlignment="1">
      <alignment horizontal="center"/>
    </xf>
    <xf numFmtId="0" fontId="2" fillId="11" borderId="1" xfId="0" applyFont="1" applyFill="1" applyBorder="1" applyAlignment="1">
      <alignment horizontal="center"/>
    </xf>
    <xf numFmtId="0" fontId="2" fillId="11" borderId="0" xfId="0" applyFont="1" applyFill="1" applyAlignment="1">
      <alignment horizontal="center"/>
    </xf>
    <xf numFmtId="0" fontId="28" fillId="11" borderId="1" xfId="0" applyFont="1" applyFill="1" applyBorder="1" applyAlignment="1">
      <alignment horizontal="center" wrapText="1"/>
    </xf>
    <xf numFmtId="0" fontId="18" fillId="2" borderId="3" xfId="0" applyFont="1" applyFill="1" applyBorder="1" applyAlignment="1">
      <alignment horizontal="center"/>
    </xf>
    <xf numFmtId="0" fontId="18" fillId="2" borderId="8" xfId="0" applyFont="1" applyFill="1" applyBorder="1" applyAlignment="1">
      <alignment horizontal="center"/>
    </xf>
    <xf numFmtId="0" fontId="18" fillId="2" borderId="1" xfId="0" applyFont="1" applyFill="1" applyBorder="1" applyAlignment="1">
      <alignment horizontal="center"/>
    </xf>
    <xf numFmtId="0" fontId="6" fillId="2" borderId="3" xfId="0" applyFont="1" applyFill="1" applyBorder="1" applyAlignment="1">
      <alignment horizontal="center" vertical="top" wrapText="1"/>
    </xf>
    <xf numFmtId="0" fontId="6" fillId="2" borderId="8" xfId="0" applyFont="1" applyFill="1" applyBorder="1" applyAlignment="1">
      <alignment horizontal="center" vertical="top" wrapText="1"/>
    </xf>
    <xf numFmtId="0" fontId="26" fillId="10" borderId="1" xfId="0" applyFont="1" applyFill="1" applyBorder="1" applyAlignment="1">
      <alignment horizontal="center"/>
    </xf>
    <xf numFmtId="0" fontId="4" fillId="10" borderId="1" xfId="0" applyFont="1" applyFill="1" applyBorder="1" applyAlignment="1">
      <alignment horizontal="center"/>
    </xf>
    <xf numFmtId="0" fontId="4" fillId="10" borderId="9" xfId="0" applyFont="1" applyFill="1" applyBorder="1" applyAlignment="1">
      <alignment horizontal="center"/>
    </xf>
    <xf numFmtId="0" fontId="2" fillId="10" borderId="1" xfId="0" applyFont="1" applyFill="1" applyBorder="1" applyAlignment="1">
      <alignment horizontal="center" vertical="center" wrapText="1"/>
    </xf>
    <xf numFmtId="0" fontId="4" fillId="10" borderId="3" xfId="0" applyFont="1" applyFill="1" applyBorder="1" applyAlignment="1">
      <alignment horizontal="center"/>
    </xf>
    <xf numFmtId="0" fontId="26" fillId="12" borderId="1" xfId="0" applyFont="1" applyFill="1" applyBorder="1" applyAlignment="1">
      <alignment horizontal="center"/>
    </xf>
    <xf numFmtId="167" fontId="4" fillId="12" borderId="0" xfId="1" applyNumberFormat="1" applyFont="1" applyFill="1" applyAlignment="1">
      <alignment horizontal="center"/>
    </xf>
    <xf numFmtId="0" fontId="26" fillId="13" borderId="1" xfId="0" applyFont="1" applyFill="1" applyBorder="1" applyAlignment="1">
      <alignment horizontal="center"/>
    </xf>
    <xf numFmtId="0" fontId="2" fillId="16" borderId="1" xfId="0" applyFont="1" applyFill="1" applyBorder="1" applyAlignment="1">
      <alignment horizontal="center"/>
    </xf>
    <xf numFmtId="0" fontId="4" fillId="15" borderId="1" xfId="0" applyFont="1" applyFill="1" applyBorder="1" applyAlignment="1">
      <alignment horizontal="center" wrapText="1"/>
    </xf>
    <xf numFmtId="0" fontId="2" fillId="15" borderId="5" xfId="0" applyFont="1" applyFill="1" applyBorder="1" applyAlignment="1">
      <alignment horizontal="center"/>
    </xf>
    <xf numFmtId="0" fontId="2" fillId="15" borderId="6" xfId="0" applyFont="1" applyFill="1" applyBorder="1" applyAlignment="1">
      <alignment horizontal="center"/>
    </xf>
    <xf numFmtId="0" fontId="2" fillId="15" borderId="7" xfId="0" applyFont="1" applyFill="1" applyBorder="1" applyAlignment="1">
      <alignment horizontal="center"/>
    </xf>
    <xf numFmtId="0" fontId="4" fillId="15" borderId="5" xfId="0" applyFont="1" applyFill="1" applyBorder="1" applyAlignment="1">
      <alignment horizontal="center"/>
    </xf>
    <xf numFmtId="0" fontId="4" fillId="15" borderId="7" xfId="0" applyFont="1" applyFill="1" applyBorder="1" applyAlignment="1">
      <alignment horizontal="center"/>
    </xf>
    <xf numFmtId="0" fontId="4" fillId="15" borderId="6" xfId="0" applyFont="1" applyFill="1" applyBorder="1" applyAlignment="1">
      <alignment horizontal="center"/>
    </xf>
    <xf numFmtId="0" fontId="0" fillId="30" borderId="3" xfId="0" applyFill="1" applyBorder="1" applyAlignment="1">
      <alignment horizontal="left" vertical="center" wrapText="1"/>
    </xf>
    <xf numFmtId="0" fontId="0" fillId="30" borderId="8" xfId="0" applyFill="1" applyBorder="1" applyAlignment="1">
      <alignment horizontal="left" vertical="center" wrapText="1"/>
    </xf>
    <xf numFmtId="0" fontId="0" fillId="18" borderId="3" xfId="0" applyFill="1" applyBorder="1" applyAlignment="1">
      <alignment horizontal="left" vertical="center" wrapText="1"/>
    </xf>
    <xf numFmtId="0" fontId="0" fillId="18" borderId="8" xfId="0" applyFill="1" applyBorder="1" applyAlignment="1">
      <alignment horizontal="left" vertical="center" wrapText="1"/>
    </xf>
    <xf numFmtId="0" fontId="82" fillId="0" borderId="23" xfId="0" applyFont="1" applyBorder="1" applyAlignment="1">
      <alignment vertical="center" wrapText="1"/>
    </xf>
    <xf numFmtId="0" fontId="82" fillId="0" borderId="18" xfId="0" applyFont="1" applyBorder="1" applyAlignment="1">
      <alignment vertical="center" wrapText="1"/>
    </xf>
    <xf numFmtId="0" fontId="82" fillId="29" borderId="23" xfId="0" applyFont="1" applyFill="1" applyBorder="1" applyAlignment="1">
      <alignment vertical="center" wrapText="1"/>
    </xf>
    <xf numFmtId="0" fontId="82" fillId="29" borderId="18" xfId="0" applyFont="1" applyFill="1" applyBorder="1" applyAlignment="1">
      <alignment vertical="center" wrapText="1"/>
    </xf>
    <xf numFmtId="0" fontId="83" fillId="29" borderId="22" xfId="0" applyFont="1" applyFill="1" applyBorder="1" applyAlignment="1">
      <alignment vertical="center" wrapText="1"/>
    </xf>
    <xf numFmtId="0" fontId="83" fillId="29" borderId="17" xfId="0" applyFont="1" applyFill="1" applyBorder="1" applyAlignment="1">
      <alignment vertical="center" wrapText="1"/>
    </xf>
    <xf numFmtId="0" fontId="83" fillId="29" borderId="16" xfId="0" applyFont="1" applyFill="1" applyBorder="1" applyAlignment="1">
      <alignment vertical="center" wrapText="1"/>
    </xf>
    <xf numFmtId="0" fontId="81" fillId="0" borderId="22" xfId="0" applyFont="1" applyBorder="1" applyAlignment="1">
      <alignment wrapText="1"/>
    </xf>
    <xf numFmtId="0" fontId="81" fillId="0" borderId="16" xfId="0" applyFont="1" applyBorder="1" applyAlignment="1">
      <alignment wrapText="1"/>
    </xf>
    <xf numFmtId="0" fontId="82" fillId="18" borderId="23" xfId="0" applyFont="1" applyFill="1" applyBorder="1" applyAlignment="1">
      <alignment vertical="center" wrapText="1"/>
    </xf>
    <xf numFmtId="0" fontId="82" fillId="18" borderId="18" xfId="0" applyFont="1" applyFill="1" applyBorder="1" applyAlignment="1">
      <alignment vertical="center" wrapText="1"/>
    </xf>
    <xf numFmtId="0" fontId="82" fillId="31" borderId="23" xfId="0" applyFont="1" applyFill="1" applyBorder="1" applyAlignment="1">
      <alignment vertical="center" wrapText="1"/>
    </xf>
    <xf numFmtId="0" fontId="82" fillId="31" borderId="18" xfId="0" applyFont="1" applyFill="1" applyBorder="1" applyAlignment="1">
      <alignment vertical="center" wrapText="1"/>
    </xf>
  </cellXfs>
  <cellStyles count="10">
    <cellStyle name="Comma" xfId="1" builtinId="3"/>
    <cellStyle name="Comma 2" xfId="7" xr:uid="{025BA760-BD91-4143-8C2D-86EB8754E362}"/>
    <cellStyle name="Hyperlink" xfId="3" builtinId="8"/>
    <cellStyle name="Normal" xfId="0" builtinId="0"/>
    <cellStyle name="Normal 2" xfId="4" xr:uid="{77CDFA8E-B3F9-43B4-B2C5-399D592AA137}"/>
    <cellStyle name="Normal 3" xfId="5" xr:uid="{4803C321-8D1F-4C41-AEED-DB1D72461E6E}"/>
    <cellStyle name="Normal 4" xfId="6" xr:uid="{D93CB2E5-045C-4D99-AB95-5BC1B6458F00}"/>
    <cellStyle name="Normal 4 2" xfId="9" xr:uid="{743A5287-5777-4140-8302-D416CF1DE528}"/>
    <cellStyle name="Percent" xfId="2" builtinId="5"/>
    <cellStyle name="Percent 2" xfId="8" xr:uid="{3763DEE5-FC2D-4AE0-B941-B05055437E8E}"/>
  </cellStyles>
  <dxfs count="0"/>
  <tableStyles count="0" defaultTableStyle="TableStyleMedium2" defaultPivotStyle="PivotStyleLight16"/>
  <colors>
    <mruColors>
      <color rgb="FFE56A54"/>
      <color rgb="FFFFFF66"/>
      <color rgb="FF56C02B"/>
      <color rgb="FFEEE680"/>
      <color rgb="FF19486A"/>
      <color rgb="FFFD6925"/>
      <color rgb="FFFF3A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theme" Target="theme/theme1.xml"/><Relationship Id="rId128" Type="http://schemas.openxmlformats.org/officeDocument/2006/relationships/customXml" Target="../customXml/item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styles" Target="styles.xml"/><Relationship Id="rId129" Type="http://schemas.openxmlformats.org/officeDocument/2006/relationships/customXml" Target="../customXml/item3.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externalLink" Target="externalLinks/externalLink1.xml"/><Relationship Id="rId125"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externalLink" Target="externalLinks/externalLink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6.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7.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8.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1.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2.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3.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4.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5.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6.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7.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8.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9.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1.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2.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3.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41.xml"/><Relationship Id="rId1" Type="http://schemas.microsoft.com/office/2011/relationships/chartStyle" Target="style41.xml"/></Relationships>
</file>

<file path=xl/charts/_rels/chart45.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6.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7.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8.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9.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0.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1.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52.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3.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4.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5.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6.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7.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55.xml"/><Relationship Id="rId1" Type="http://schemas.microsoft.com/office/2011/relationships/chartStyle" Target="style55.xml"/></Relationships>
</file>

<file path=xl/charts/_rels/chart59.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60.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61.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62.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3.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4.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5.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latin typeface="Aptos" panose="020B0004020202020204" pitchFamily="34" charset="0"/>
              </a:rPr>
              <a:t>Female graduates from tertiary education, by disciplines (%)</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'Section I_Fig1'!$B$3</c:f>
              <c:strCache>
                <c:ptCount val="1"/>
                <c:pt idx="0">
                  <c:v>Sceince &amp; Mathematics</c:v>
                </c:pt>
              </c:strCache>
            </c:strRef>
          </c:tx>
          <c:spPr>
            <a:solidFill>
              <a:schemeClr val="accent1"/>
            </a:solidFill>
            <a:ln>
              <a:noFill/>
            </a:ln>
            <a:effectLst/>
          </c:spPr>
          <c:invertIfNegative val="0"/>
          <c:cat>
            <c:strRef>
              <c:f>'Section I_Fig1'!$A$4:$A$20</c:f>
              <c:strCache>
                <c:ptCount val="17"/>
                <c:pt idx="0">
                  <c:v>Algeria, 2023</c:v>
                </c:pt>
                <c:pt idx="1">
                  <c:v>Bahrain, 2023</c:v>
                </c:pt>
                <c:pt idx="2">
                  <c:v>Egypt, 2023</c:v>
                </c:pt>
                <c:pt idx="3">
                  <c:v>Jordan, 2023</c:v>
                </c:pt>
                <c:pt idx="4">
                  <c:v>Lebanon, 2011</c:v>
                </c:pt>
                <c:pt idx="5">
                  <c:v>Mauritania, 2020</c:v>
                </c:pt>
                <c:pt idx="6">
                  <c:v>Morocco, 2023</c:v>
                </c:pt>
                <c:pt idx="7">
                  <c:v>Oman, 2023</c:v>
                </c:pt>
                <c:pt idx="8">
                  <c:v>Palestine, 2023</c:v>
                </c:pt>
                <c:pt idx="9">
                  <c:v>Qatar, 2023</c:v>
                </c:pt>
                <c:pt idx="10">
                  <c:v>Saudi Arabia, 2022</c:v>
                </c:pt>
                <c:pt idx="11">
                  <c:v>Sudan, 2015</c:v>
                </c:pt>
                <c:pt idx="12">
                  <c:v>Syria, 2022</c:v>
                </c:pt>
                <c:pt idx="13">
                  <c:v>Tunisia, 2023</c:v>
                </c:pt>
                <c:pt idx="14">
                  <c:v>United Arab Emirates, 2020</c:v>
                </c:pt>
                <c:pt idx="15">
                  <c:v>OECD average</c:v>
                </c:pt>
                <c:pt idx="16">
                  <c:v>Arab average </c:v>
                </c:pt>
              </c:strCache>
            </c:strRef>
          </c:cat>
          <c:val>
            <c:numRef>
              <c:f>'Section I_Fig1'!$B$4:$B$20</c:f>
              <c:numCache>
                <c:formatCode>#,##0.0"%"</c:formatCode>
                <c:ptCount val="17"/>
                <c:pt idx="0">
                  <c:v>13.817399999999999</c:v>
                </c:pt>
                <c:pt idx="1">
                  <c:v>2.8734600000000001</c:v>
                </c:pt>
                <c:pt idx="2">
                  <c:v>4.6810600000000004</c:v>
                </c:pt>
                <c:pt idx="3">
                  <c:v>4.7876300000000001</c:v>
                </c:pt>
                <c:pt idx="4">
                  <c:v>10.915179999999999</c:v>
                </c:pt>
                <c:pt idx="5">
                  <c:v>29.39959</c:v>
                </c:pt>
                <c:pt idx="6">
                  <c:v>7.7864800000000001</c:v>
                </c:pt>
                <c:pt idx="7">
                  <c:v>5.3062199999999997</c:v>
                </c:pt>
                <c:pt idx="8">
                  <c:v>4.0724299999999998</c:v>
                </c:pt>
                <c:pt idx="9">
                  <c:v>3.3204600000000002</c:v>
                </c:pt>
                <c:pt idx="10">
                  <c:v>10.577019999999999</c:v>
                </c:pt>
                <c:pt idx="11">
                  <c:v>17.61159</c:v>
                </c:pt>
                <c:pt idx="12">
                  <c:v>9.4770800000000008</c:v>
                </c:pt>
                <c:pt idx="13">
                  <c:v>8.0138099999999994</c:v>
                </c:pt>
                <c:pt idx="14">
                  <c:v>2.8866399999999999</c:v>
                </c:pt>
                <c:pt idx="15">
                  <c:v>5.502275</c:v>
                </c:pt>
                <c:pt idx="16">
                  <c:v>9.0350699999999993</c:v>
                </c:pt>
              </c:numCache>
            </c:numRef>
          </c:val>
          <c:extLst>
            <c:ext xmlns:c16="http://schemas.microsoft.com/office/drawing/2014/chart" uri="{C3380CC4-5D6E-409C-BE32-E72D297353CC}">
              <c16:uniqueId val="{00000000-AC62-4253-B587-9E1BC0C179CD}"/>
            </c:ext>
          </c:extLst>
        </c:ser>
        <c:ser>
          <c:idx val="1"/>
          <c:order val="1"/>
          <c:tx>
            <c:strRef>
              <c:f>'Section I_Fig1'!$C$3</c:f>
              <c:strCache>
                <c:ptCount val="1"/>
                <c:pt idx="0">
                  <c:v>ICT</c:v>
                </c:pt>
              </c:strCache>
            </c:strRef>
          </c:tx>
          <c:spPr>
            <a:solidFill>
              <a:schemeClr val="accent2"/>
            </a:solidFill>
            <a:ln>
              <a:noFill/>
            </a:ln>
            <a:effectLst/>
          </c:spPr>
          <c:invertIfNegative val="0"/>
          <c:cat>
            <c:strRef>
              <c:f>'Section I_Fig1'!$A$4:$A$20</c:f>
              <c:strCache>
                <c:ptCount val="17"/>
                <c:pt idx="0">
                  <c:v>Algeria, 2023</c:v>
                </c:pt>
                <c:pt idx="1">
                  <c:v>Bahrain, 2023</c:v>
                </c:pt>
                <c:pt idx="2">
                  <c:v>Egypt, 2023</c:v>
                </c:pt>
                <c:pt idx="3">
                  <c:v>Jordan, 2023</c:v>
                </c:pt>
                <c:pt idx="4">
                  <c:v>Lebanon, 2011</c:v>
                </c:pt>
                <c:pt idx="5">
                  <c:v>Mauritania, 2020</c:v>
                </c:pt>
                <c:pt idx="6">
                  <c:v>Morocco, 2023</c:v>
                </c:pt>
                <c:pt idx="7">
                  <c:v>Oman, 2023</c:v>
                </c:pt>
                <c:pt idx="8">
                  <c:v>Palestine, 2023</c:v>
                </c:pt>
                <c:pt idx="9">
                  <c:v>Qatar, 2023</c:v>
                </c:pt>
                <c:pt idx="10">
                  <c:v>Saudi Arabia, 2022</c:v>
                </c:pt>
                <c:pt idx="11">
                  <c:v>Sudan, 2015</c:v>
                </c:pt>
                <c:pt idx="12">
                  <c:v>Syria, 2022</c:v>
                </c:pt>
                <c:pt idx="13">
                  <c:v>Tunisia, 2023</c:v>
                </c:pt>
                <c:pt idx="14">
                  <c:v>United Arab Emirates, 2020</c:v>
                </c:pt>
                <c:pt idx="15">
                  <c:v>OECD average</c:v>
                </c:pt>
                <c:pt idx="16">
                  <c:v>Arab average </c:v>
                </c:pt>
              </c:strCache>
            </c:strRef>
          </c:cat>
          <c:val>
            <c:numRef>
              <c:f>'Section I_Fig1'!$C$4:$C$20</c:f>
              <c:numCache>
                <c:formatCode>#,##0.0"%"</c:formatCode>
                <c:ptCount val="17"/>
                <c:pt idx="0">
                  <c:v>2.8446099999999999</c:v>
                </c:pt>
                <c:pt idx="1">
                  <c:v>3.3754499999999998</c:v>
                </c:pt>
                <c:pt idx="2">
                  <c:v>3.7726500000000001</c:v>
                </c:pt>
                <c:pt idx="3">
                  <c:v>5.6667699999999996</c:v>
                </c:pt>
                <c:pt idx="4">
                  <c:v>1.1197699999999999</c:v>
                </c:pt>
                <c:pt idx="5">
                  <c:v>6.5217400000000003</c:v>
                </c:pt>
                <c:pt idx="6">
                  <c:v>4.4287400000000003</c:v>
                </c:pt>
                <c:pt idx="7">
                  <c:v>11.13584</c:v>
                </c:pt>
                <c:pt idx="8">
                  <c:v>4.4583899999999996</c:v>
                </c:pt>
                <c:pt idx="9">
                  <c:v>2.81853</c:v>
                </c:pt>
                <c:pt idx="10">
                  <c:v>7.8758499999999998</c:v>
                </c:pt>
                <c:pt idx="12">
                  <c:v>3.7744300000000002</c:v>
                </c:pt>
                <c:pt idx="13">
                  <c:v>11.36598</c:v>
                </c:pt>
                <c:pt idx="14">
                  <c:v>5.9797599999999997</c:v>
                </c:pt>
                <c:pt idx="15">
                  <c:v>3.1377225000000006</c:v>
                </c:pt>
                <c:pt idx="16">
                  <c:v>5.3670364285714296</c:v>
                </c:pt>
              </c:numCache>
            </c:numRef>
          </c:val>
          <c:extLst>
            <c:ext xmlns:c16="http://schemas.microsoft.com/office/drawing/2014/chart" uri="{C3380CC4-5D6E-409C-BE32-E72D297353CC}">
              <c16:uniqueId val="{00000001-AC62-4253-B587-9E1BC0C179CD}"/>
            </c:ext>
          </c:extLst>
        </c:ser>
        <c:ser>
          <c:idx val="2"/>
          <c:order val="2"/>
          <c:tx>
            <c:strRef>
              <c:f>'Section I_Fig1'!$D$3</c:f>
              <c:strCache>
                <c:ptCount val="1"/>
                <c:pt idx="0">
                  <c:v>Manufacturing &amp; Engineering</c:v>
                </c:pt>
              </c:strCache>
            </c:strRef>
          </c:tx>
          <c:spPr>
            <a:solidFill>
              <a:schemeClr val="accent3"/>
            </a:solidFill>
            <a:ln>
              <a:noFill/>
            </a:ln>
            <a:effectLst/>
          </c:spPr>
          <c:invertIfNegative val="0"/>
          <c:cat>
            <c:strRef>
              <c:f>'Section I_Fig1'!$A$4:$A$20</c:f>
              <c:strCache>
                <c:ptCount val="17"/>
                <c:pt idx="0">
                  <c:v>Algeria, 2023</c:v>
                </c:pt>
                <c:pt idx="1">
                  <c:v>Bahrain, 2023</c:v>
                </c:pt>
                <c:pt idx="2">
                  <c:v>Egypt, 2023</c:v>
                </c:pt>
                <c:pt idx="3">
                  <c:v>Jordan, 2023</c:v>
                </c:pt>
                <c:pt idx="4">
                  <c:v>Lebanon, 2011</c:v>
                </c:pt>
                <c:pt idx="5">
                  <c:v>Mauritania, 2020</c:v>
                </c:pt>
                <c:pt idx="6">
                  <c:v>Morocco, 2023</c:v>
                </c:pt>
                <c:pt idx="7">
                  <c:v>Oman, 2023</c:v>
                </c:pt>
                <c:pt idx="8">
                  <c:v>Palestine, 2023</c:v>
                </c:pt>
                <c:pt idx="9">
                  <c:v>Qatar, 2023</c:v>
                </c:pt>
                <c:pt idx="10">
                  <c:v>Saudi Arabia, 2022</c:v>
                </c:pt>
                <c:pt idx="11">
                  <c:v>Sudan, 2015</c:v>
                </c:pt>
                <c:pt idx="12">
                  <c:v>Syria, 2022</c:v>
                </c:pt>
                <c:pt idx="13">
                  <c:v>Tunisia, 2023</c:v>
                </c:pt>
                <c:pt idx="14">
                  <c:v>United Arab Emirates, 2020</c:v>
                </c:pt>
                <c:pt idx="15">
                  <c:v>OECD average</c:v>
                </c:pt>
                <c:pt idx="16">
                  <c:v>Arab average </c:v>
                </c:pt>
              </c:strCache>
            </c:strRef>
          </c:cat>
          <c:val>
            <c:numRef>
              <c:f>'Section I_Fig1'!$D$4:$D$20</c:f>
              <c:numCache>
                <c:formatCode>#,##0.0"%"</c:formatCode>
                <c:ptCount val="17"/>
                <c:pt idx="0">
                  <c:v>9.8923699999999997</c:v>
                </c:pt>
                <c:pt idx="1">
                  <c:v>6.8893899999999997</c:v>
                </c:pt>
                <c:pt idx="2">
                  <c:v>4.7680199999999999</c:v>
                </c:pt>
                <c:pt idx="3">
                  <c:v>6.6721300000000001</c:v>
                </c:pt>
                <c:pt idx="4">
                  <c:v>5.9913100000000004</c:v>
                </c:pt>
                <c:pt idx="5">
                  <c:v>0.82816000000000001</c:v>
                </c:pt>
                <c:pt idx="6">
                  <c:v>7.0815000000000001</c:v>
                </c:pt>
                <c:pt idx="7">
                  <c:v>13.44604</c:v>
                </c:pt>
                <c:pt idx="8">
                  <c:v>5.4359200000000003</c:v>
                </c:pt>
                <c:pt idx="9">
                  <c:v>9.0540500000000002</c:v>
                </c:pt>
                <c:pt idx="10">
                  <c:v>2.4441700000000002</c:v>
                </c:pt>
                <c:pt idx="11">
                  <c:v>10.218719999999999</c:v>
                </c:pt>
                <c:pt idx="12">
                  <c:v>16.258890000000001</c:v>
                </c:pt>
                <c:pt idx="13">
                  <c:v>11.27181</c:v>
                </c:pt>
                <c:pt idx="14">
                  <c:v>21.388660000000002</c:v>
                </c:pt>
                <c:pt idx="15">
                  <c:v>7.9497424999999993</c:v>
                </c:pt>
                <c:pt idx="16">
                  <c:v>8.7760759999999998</c:v>
                </c:pt>
              </c:numCache>
            </c:numRef>
          </c:val>
          <c:extLst>
            <c:ext xmlns:c16="http://schemas.microsoft.com/office/drawing/2014/chart" uri="{C3380CC4-5D6E-409C-BE32-E72D297353CC}">
              <c16:uniqueId val="{00000002-AC62-4253-B587-9E1BC0C179CD}"/>
            </c:ext>
          </c:extLst>
        </c:ser>
        <c:dLbls>
          <c:showLegendKey val="0"/>
          <c:showVal val="0"/>
          <c:showCatName val="0"/>
          <c:showSerName val="0"/>
          <c:showPercent val="0"/>
          <c:showBubbleSize val="0"/>
        </c:dLbls>
        <c:gapWidth val="219"/>
        <c:overlap val="-27"/>
        <c:axId val="99976736"/>
        <c:axId val="99976256"/>
      </c:barChart>
      <c:catAx>
        <c:axId val="9997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76256"/>
        <c:crosses val="autoZero"/>
        <c:auto val="1"/>
        <c:lblAlgn val="ctr"/>
        <c:lblOffset val="100"/>
        <c:noMultiLvlLbl val="0"/>
      </c:catAx>
      <c:valAx>
        <c:axId val="99976256"/>
        <c:scaling>
          <c:orientation val="minMax"/>
        </c:scaling>
        <c:delete val="0"/>
        <c:axPos val="l"/>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76736"/>
        <c:crosses val="autoZero"/>
        <c:crossBetween val="between"/>
        <c:majorUnit val="10"/>
      </c:valAx>
      <c:spPr>
        <a:noFill/>
        <a:ln>
          <a:noFill/>
        </a:ln>
        <a:effectLst/>
      </c:spPr>
    </c:plotArea>
    <c:legend>
      <c:legendPos val="b"/>
      <c:layout>
        <c:manualLayout>
          <c:xMode val="edge"/>
          <c:yMode val="edge"/>
          <c:x val="2.2777950170623517E-2"/>
          <c:y val="0.85304265662444367"/>
          <c:w val="0.95732698221443036"/>
          <c:h val="0.112174734679904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713477604065404"/>
          <c:y val="0.22667053915786298"/>
          <c:w val="0.5896152246138735"/>
          <c:h val="0.61735903672322334"/>
        </c:manualLayout>
      </c:layout>
      <c:barChart>
        <c:barDir val="bar"/>
        <c:grouping val="clustered"/>
        <c:varyColors val="0"/>
        <c:ser>
          <c:idx val="0"/>
          <c:order val="0"/>
          <c:tx>
            <c:strRef>
              <c:f>'Section I_Fig6'!$A$2</c:f>
              <c:strCache>
                <c:ptCount val="1"/>
                <c:pt idx="0">
                  <c:v>Arab Region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I_Fig6'!$B$1:$C$1</c:f>
              <c:strCache>
                <c:ptCount val="2"/>
                <c:pt idx="0">
                  <c:v>Share of firms with female top managers</c:v>
                </c:pt>
                <c:pt idx="1">
                  <c:v>Share of firms with female participation in ownership</c:v>
                </c:pt>
              </c:strCache>
            </c:strRef>
          </c:cat>
          <c:val>
            <c:numRef>
              <c:f>'Section I_Fig6'!$B$2:$C$2</c:f>
              <c:numCache>
                <c:formatCode>#0"%"</c:formatCode>
                <c:ptCount val="2"/>
                <c:pt idx="0">
                  <c:v>3.6</c:v>
                </c:pt>
                <c:pt idx="1">
                  <c:v>13.56</c:v>
                </c:pt>
              </c:numCache>
            </c:numRef>
          </c:val>
          <c:extLst>
            <c:ext xmlns:c16="http://schemas.microsoft.com/office/drawing/2014/chart" uri="{C3380CC4-5D6E-409C-BE32-E72D297353CC}">
              <c16:uniqueId val="{00000000-DFBA-479E-B814-8A5E59EE348E}"/>
            </c:ext>
          </c:extLst>
        </c:ser>
        <c:ser>
          <c:idx val="1"/>
          <c:order val="1"/>
          <c:tx>
            <c:strRef>
              <c:f>'Section I_Fig6'!$A$3</c:f>
              <c:strCache>
                <c:ptCount val="1"/>
                <c:pt idx="0">
                  <c:v>South Asia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I_Fig6'!$B$1:$C$1</c:f>
              <c:strCache>
                <c:ptCount val="2"/>
                <c:pt idx="0">
                  <c:v>Share of firms with female top managers</c:v>
                </c:pt>
                <c:pt idx="1">
                  <c:v>Share of firms with female participation in ownership</c:v>
                </c:pt>
              </c:strCache>
            </c:strRef>
          </c:cat>
          <c:val>
            <c:numRef>
              <c:f>'Section I_Fig6'!$B$3:$C$3</c:f>
              <c:numCache>
                <c:formatCode>#0"%"</c:formatCode>
                <c:ptCount val="2"/>
                <c:pt idx="0">
                  <c:v>9.1833333333333336</c:v>
                </c:pt>
                <c:pt idx="1">
                  <c:v>12.616666666666667</c:v>
                </c:pt>
              </c:numCache>
            </c:numRef>
          </c:val>
          <c:extLst>
            <c:ext xmlns:c16="http://schemas.microsoft.com/office/drawing/2014/chart" uri="{C3380CC4-5D6E-409C-BE32-E72D297353CC}">
              <c16:uniqueId val="{00000001-DFBA-479E-B814-8A5E59EE348E}"/>
            </c:ext>
          </c:extLst>
        </c:ser>
        <c:ser>
          <c:idx val="2"/>
          <c:order val="2"/>
          <c:tx>
            <c:strRef>
              <c:f>'Section I_Fig6'!$A$4</c:f>
              <c:strCache>
                <c:ptCount val="1"/>
                <c:pt idx="0">
                  <c:v>World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I_Fig6'!$B$1:$C$1</c:f>
              <c:strCache>
                <c:ptCount val="2"/>
                <c:pt idx="0">
                  <c:v>Share of firms with female top managers</c:v>
                </c:pt>
                <c:pt idx="1">
                  <c:v>Share of firms with female participation in ownership</c:v>
                </c:pt>
              </c:strCache>
            </c:strRef>
          </c:cat>
          <c:val>
            <c:numRef>
              <c:f>'Section I_Fig6'!$B$4:$C$4</c:f>
              <c:numCache>
                <c:formatCode>#0"%"</c:formatCode>
                <c:ptCount val="2"/>
                <c:pt idx="0">
                  <c:v>15</c:v>
                </c:pt>
                <c:pt idx="1">
                  <c:v>34</c:v>
                </c:pt>
              </c:numCache>
            </c:numRef>
          </c:val>
          <c:extLst>
            <c:ext xmlns:c16="http://schemas.microsoft.com/office/drawing/2014/chart" uri="{C3380CC4-5D6E-409C-BE32-E72D297353CC}">
              <c16:uniqueId val="{00000002-DFBA-479E-B814-8A5E59EE348E}"/>
            </c:ext>
          </c:extLst>
        </c:ser>
        <c:ser>
          <c:idx val="3"/>
          <c:order val="3"/>
          <c:tx>
            <c:strRef>
              <c:f>'Section I_Fig6'!$A$5</c:f>
              <c:strCache>
                <c:ptCount val="1"/>
                <c:pt idx="0">
                  <c:v>Sub-Saharan Africa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I_Fig6'!$B$1:$C$1</c:f>
              <c:strCache>
                <c:ptCount val="2"/>
                <c:pt idx="0">
                  <c:v>Share of firms with female top managers</c:v>
                </c:pt>
                <c:pt idx="1">
                  <c:v>Share of firms with female participation in ownership</c:v>
                </c:pt>
              </c:strCache>
            </c:strRef>
          </c:cat>
          <c:val>
            <c:numRef>
              <c:f>'Section I_Fig6'!$B$5:$C$5</c:f>
              <c:numCache>
                <c:formatCode>#0"%"</c:formatCode>
                <c:ptCount val="2"/>
                <c:pt idx="0">
                  <c:v>17.102857142857143</c:v>
                </c:pt>
                <c:pt idx="1">
                  <c:v>29.86571428571429</c:v>
                </c:pt>
              </c:numCache>
            </c:numRef>
          </c:val>
          <c:extLst>
            <c:ext xmlns:c16="http://schemas.microsoft.com/office/drawing/2014/chart" uri="{C3380CC4-5D6E-409C-BE32-E72D297353CC}">
              <c16:uniqueId val="{00000003-DFBA-479E-B814-8A5E59EE348E}"/>
            </c:ext>
          </c:extLst>
        </c:ser>
        <c:ser>
          <c:idx val="4"/>
          <c:order val="4"/>
          <c:tx>
            <c:strRef>
              <c:f>'Section I_Fig6'!$A$6</c:f>
              <c:strCache>
                <c:ptCount val="1"/>
                <c:pt idx="0">
                  <c:v>Europe and Central Asia</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I_Fig6'!$B$1:$C$1</c:f>
              <c:strCache>
                <c:ptCount val="2"/>
                <c:pt idx="0">
                  <c:v>Share of firms with female top managers</c:v>
                </c:pt>
                <c:pt idx="1">
                  <c:v>Share of firms with female participation in ownership</c:v>
                </c:pt>
              </c:strCache>
            </c:strRef>
          </c:cat>
          <c:val>
            <c:numRef>
              <c:f>'Section I_Fig6'!$B$6:$C$6</c:f>
              <c:numCache>
                <c:formatCode>#0"%"</c:formatCode>
                <c:ptCount val="2"/>
                <c:pt idx="0">
                  <c:v>17.28409090909091</c:v>
                </c:pt>
                <c:pt idx="1">
                  <c:v>34.088636363636368</c:v>
                </c:pt>
              </c:numCache>
            </c:numRef>
          </c:val>
          <c:extLst>
            <c:ext xmlns:c16="http://schemas.microsoft.com/office/drawing/2014/chart" uri="{C3380CC4-5D6E-409C-BE32-E72D297353CC}">
              <c16:uniqueId val="{00000004-DFBA-479E-B814-8A5E59EE348E}"/>
            </c:ext>
          </c:extLst>
        </c:ser>
        <c:ser>
          <c:idx val="5"/>
          <c:order val="5"/>
          <c:tx>
            <c:strRef>
              <c:f>'Section I_Fig6'!$A$7</c:f>
              <c:strCache>
                <c:ptCount val="1"/>
                <c:pt idx="0">
                  <c:v>Latin America and Caribbean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I_Fig6'!$B$1:$C$1</c:f>
              <c:strCache>
                <c:ptCount val="2"/>
                <c:pt idx="0">
                  <c:v>Share of firms with female top managers</c:v>
                </c:pt>
                <c:pt idx="1">
                  <c:v>Share of firms with female participation in ownership</c:v>
                </c:pt>
              </c:strCache>
            </c:strRef>
          </c:cat>
          <c:val>
            <c:numRef>
              <c:f>'Section I_Fig6'!$B$7:$C$7</c:f>
              <c:numCache>
                <c:formatCode>#0"%"</c:formatCode>
                <c:ptCount val="2"/>
                <c:pt idx="0">
                  <c:v>20.250000000000004</c:v>
                </c:pt>
                <c:pt idx="1">
                  <c:v>47.368749999999999</c:v>
                </c:pt>
              </c:numCache>
            </c:numRef>
          </c:val>
          <c:extLst>
            <c:ext xmlns:c16="http://schemas.microsoft.com/office/drawing/2014/chart" uri="{C3380CC4-5D6E-409C-BE32-E72D297353CC}">
              <c16:uniqueId val="{00000005-DFBA-479E-B814-8A5E59EE348E}"/>
            </c:ext>
          </c:extLst>
        </c:ser>
        <c:ser>
          <c:idx val="6"/>
          <c:order val="6"/>
          <c:tx>
            <c:strRef>
              <c:f>'Section I_Fig6'!$A$8</c:f>
              <c:strCache>
                <c:ptCount val="1"/>
                <c:pt idx="0">
                  <c:v>East Asia and Pacific</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I_Fig6'!$B$1:$C$1</c:f>
              <c:strCache>
                <c:ptCount val="2"/>
                <c:pt idx="0">
                  <c:v>Share of firms with female top managers</c:v>
                </c:pt>
                <c:pt idx="1">
                  <c:v>Share of firms with female participation in ownership</c:v>
                </c:pt>
              </c:strCache>
            </c:strRef>
          </c:cat>
          <c:val>
            <c:numRef>
              <c:f>'Section I_Fig6'!$B$8:$C$8</c:f>
              <c:numCache>
                <c:formatCode>#0"%"</c:formatCode>
                <c:ptCount val="2"/>
                <c:pt idx="0">
                  <c:v>34.788235294117641</c:v>
                </c:pt>
                <c:pt idx="1">
                  <c:v>44.176470588235297</c:v>
                </c:pt>
              </c:numCache>
            </c:numRef>
          </c:val>
          <c:extLst>
            <c:ext xmlns:c16="http://schemas.microsoft.com/office/drawing/2014/chart" uri="{C3380CC4-5D6E-409C-BE32-E72D297353CC}">
              <c16:uniqueId val="{00000000-F79D-4938-ACA2-FCA0812F9AB6}"/>
            </c:ext>
          </c:extLst>
        </c:ser>
        <c:dLbls>
          <c:dLblPos val="outEnd"/>
          <c:showLegendKey val="0"/>
          <c:showVal val="1"/>
          <c:showCatName val="0"/>
          <c:showSerName val="0"/>
          <c:showPercent val="0"/>
          <c:showBubbleSize val="0"/>
        </c:dLbls>
        <c:gapWidth val="182"/>
        <c:axId val="404982479"/>
        <c:axId val="404976239"/>
      </c:barChart>
      <c:catAx>
        <c:axId val="404982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976239"/>
        <c:crosses val="autoZero"/>
        <c:auto val="1"/>
        <c:lblAlgn val="ctr"/>
        <c:lblOffset val="100"/>
        <c:noMultiLvlLbl val="0"/>
      </c:catAx>
      <c:valAx>
        <c:axId val="404976239"/>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effectLst/>
                  </a:rPr>
                  <a:t>Gaps in female ownership and fulltime workers (%)</a:t>
                </a:r>
              </a:p>
            </c:rich>
          </c:tx>
          <c:layout>
            <c:manualLayout>
              <c:xMode val="edge"/>
              <c:yMode val="edge"/>
              <c:x val="0.39346239478685852"/>
              <c:y val="4.862204756349452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quot;" sourceLinked="1"/>
        <c:majorTickMark val="none"/>
        <c:minorTickMark val="none"/>
        <c:tickLblPos val="nextTo"/>
        <c:crossAx val="404982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latin typeface="Aptos" panose="020B0004020202020204" pitchFamily="34" charset="0"/>
              </a:rPr>
              <a:t>Gender income gap, ratio of women's to men's labour income (%)</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'Section I_Fig7'!$A$2</c:f>
              <c:strCache>
                <c:ptCount val="1"/>
                <c:pt idx="0">
                  <c:v>2004</c:v>
                </c:pt>
              </c:strCache>
            </c:strRef>
          </c:tx>
          <c:spPr>
            <a:solidFill>
              <a:schemeClr val="accent1"/>
            </a:solidFill>
            <a:ln>
              <a:noFill/>
            </a:ln>
            <a:effectLst/>
          </c:spPr>
          <c:invertIfNegative val="0"/>
          <c:dLbls>
            <c:dLbl>
              <c:idx val="0"/>
              <c:layout>
                <c:manualLayout>
                  <c:x val="-1.388888888888889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29-4A7A-8DC3-DAC09AE925EA}"/>
                </c:ext>
              </c:extLst>
            </c:dLbl>
            <c:dLbl>
              <c:idx val="5"/>
              <c:layout>
                <c:manualLayout>
                  <c:x val="-1.111111111111100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D8-44E8-AE3E-B8D0BA3BEB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I_Fig7'!$B$1:$H$1</c:f>
              <c:strCache>
                <c:ptCount val="7"/>
                <c:pt idx="0">
                  <c:v>Arab Region</c:v>
                </c:pt>
                <c:pt idx="1">
                  <c:v>Asia &amp; the Pacific</c:v>
                </c:pt>
                <c:pt idx="2">
                  <c:v>Europe &amp; Central Asia</c:v>
                </c:pt>
                <c:pt idx="3">
                  <c:v>Latin America &amp; Caribbean</c:v>
                </c:pt>
                <c:pt idx="4">
                  <c:v>Southern Asia</c:v>
                </c:pt>
                <c:pt idx="5">
                  <c:v>Sub-Saharan Africa</c:v>
                </c:pt>
                <c:pt idx="6">
                  <c:v>World</c:v>
                </c:pt>
              </c:strCache>
            </c:strRef>
          </c:cat>
          <c:val>
            <c:numRef>
              <c:f>'Section I_Fig7'!$B$2:$H$2</c:f>
              <c:numCache>
                <c:formatCode>#0"%"</c:formatCode>
                <c:ptCount val="7"/>
                <c:pt idx="0">
                  <c:v>14.02400016784668</c:v>
                </c:pt>
                <c:pt idx="1">
                  <c:v>36.215999603271484</c:v>
                </c:pt>
                <c:pt idx="2">
                  <c:v>53.584999084472656</c:v>
                </c:pt>
                <c:pt idx="3">
                  <c:v>47.522998809814453</c:v>
                </c:pt>
                <c:pt idx="4">
                  <c:v>15.49899959564209</c:v>
                </c:pt>
                <c:pt idx="5">
                  <c:v>45.176998138427734</c:v>
                </c:pt>
                <c:pt idx="6">
                  <c:v>46.270000457763672</c:v>
                </c:pt>
              </c:numCache>
            </c:numRef>
          </c:val>
          <c:extLst>
            <c:ext xmlns:c16="http://schemas.microsoft.com/office/drawing/2014/chart" uri="{C3380CC4-5D6E-409C-BE32-E72D297353CC}">
              <c16:uniqueId val="{00000003-9429-4A7A-8DC3-DAC09AE925EA}"/>
            </c:ext>
          </c:extLst>
        </c:ser>
        <c:ser>
          <c:idx val="1"/>
          <c:order val="1"/>
          <c:tx>
            <c:strRef>
              <c:f>'Section I_Fig7'!$A$3</c:f>
              <c:strCache>
                <c:ptCount val="1"/>
                <c:pt idx="0">
                  <c:v>2024</c:v>
                </c:pt>
              </c:strCache>
            </c:strRef>
          </c:tx>
          <c:spPr>
            <a:solidFill>
              <a:schemeClr val="accent2"/>
            </a:solidFill>
            <a:ln>
              <a:noFill/>
            </a:ln>
            <a:effectLst/>
          </c:spPr>
          <c:invertIfNegative val="0"/>
          <c:dLbls>
            <c:dLbl>
              <c:idx val="5"/>
              <c:layout>
                <c:manualLayout>
                  <c:x val="8.3333333333333332E-3"/>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D8-44E8-AE3E-B8D0BA3BEB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I_Fig7'!$B$1:$H$1</c:f>
              <c:strCache>
                <c:ptCount val="7"/>
                <c:pt idx="0">
                  <c:v>Arab Region</c:v>
                </c:pt>
                <c:pt idx="1">
                  <c:v>Asia &amp; the Pacific</c:v>
                </c:pt>
                <c:pt idx="2">
                  <c:v>Europe &amp; Central Asia</c:v>
                </c:pt>
                <c:pt idx="3">
                  <c:v>Latin America &amp; Caribbean</c:v>
                </c:pt>
                <c:pt idx="4">
                  <c:v>Southern Asia</c:v>
                </c:pt>
                <c:pt idx="5">
                  <c:v>Sub-Saharan Africa</c:v>
                </c:pt>
                <c:pt idx="6">
                  <c:v>World</c:v>
                </c:pt>
              </c:strCache>
            </c:strRef>
          </c:cat>
          <c:val>
            <c:numRef>
              <c:f>'Section I_Fig7'!$B$3:$H$3</c:f>
              <c:numCache>
                <c:formatCode>#0"%"</c:formatCode>
                <c:ptCount val="7"/>
                <c:pt idx="0">
                  <c:v>14.517999649047852</c:v>
                </c:pt>
                <c:pt idx="1">
                  <c:v>44.248001098632813</c:v>
                </c:pt>
                <c:pt idx="2">
                  <c:v>61.900001525878906</c:v>
                </c:pt>
                <c:pt idx="3">
                  <c:v>60.525001525878906</c:v>
                </c:pt>
                <c:pt idx="4">
                  <c:v>22.572000503540039</c:v>
                </c:pt>
                <c:pt idx="5">
                  <c:v>45.237998962402344</c:v>
                </c:pt>
                <c:pt idx="6">
                  <c:v>51.834999084472656</c:v>
                </c:pt>
              </c:numCache>
            </c:numRef>
          </c:val>
          <c:extLst>
            <c:ext xmlns:c16="http://schemas.microsoft.com/office/drawing/2014/chart" uri="{C3380CC4-5D6E-409C-BE32-E72D297353CC}">
              <c16:uniqueId val="{00000005-9429-4A7A-8DC3-DAC09AE925EA}"/>
            </c:ext>
          </c:extLst>
        </c:ser>
        <c:dLbls>
          <c:dLblPos val="outEnd"/>
          <c:showLegendKey val="0"/>
          <c:showVal val="1"/>
          <c:showCatName val="0"/>
          <c:showSerName val="0"/>
          <c:showPercent val="0"/>
          <c:showBubbleSize val="0"/>
        </c:dLbls>
        <c:gapWidth val="219"/>
        <c:overlap val="-27"/>
        <c:axId val="744578160"/>
        <c:axId val="744575280"/>
      </c:barChart>
      <c:catAx>
        <c:axId val="74457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575280"/>
        <c:crosses val="autoZero"/>
        <c:auto val="1"/>
        <c:lblAlgn val="ctr"/>
        <c:lblOffset val="100"/>
        <c:noMultiLvlLbl val="0"/>
      </c:catAx>
      <c:valAx>
        <c:axId val="74457528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74457816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I_Fig8'!$A$1:$A$6</c:f>
              <c:strCache>
                <c:ptCount val="6"/>
                <c:pt idx="0">
                  <c:v>Convention on home work, 1996 (No. 177)</c:v>
                </c:pt>
                <c:pt idx="1">
                  <c:v>Convention on violence and harassment, 2019 (No.190)</c:v>
                </c:pt>
                <c:pt idx="2">
                  <c:v>Convention on part-time work, 1994 (No. 175)</c:v>
                </c:pt>
                <c:pt idx="3">
                  <c:v>Convention on workers with family responsibilities, 1981 (No. 156)</c:v>
                </c:pt>
                <c:pt idx="4">
                  <c:v>Convention on maternity protection, 2000 (No. 183)</c:v>
                </c:pt>
                <c:pt idx="5">
                  <c:v>Laws on sexual harassment in the workplace</c:v>
                </c:pt>
              </c:strCache>
            </c:strRef>
          </c:cat>
          <c:val>
            <c:numRef>
              <c:f>'Section I_Fig8'!$B$1:$B$6</c:f>
              <c:numCache>
                <c:formatCode>0</c:formatCode>
                <c:ptCount val="6"/>
                <c:pt idx="0">
                  <c:v>22</c:v>
                </c:pt>
                <c:pt idx="1">
                  <c:v>21</c:v>
                </c:pt>
                <c:pt idx="2">
                  <c:v>21</c:v>
                </c:pt>
                <c:pt idx="3">
                  <c:v>21</c:v>
                </c:pt>
                <c:pt idx="4">
                  <c:v>20</c:v>
                </c:pt>
                <c:pt idx="5">
                  <c:v>14</c:v>
                </c:pt>
              </c:numCache>
            </c:numRef>
          </c:val>
          <c:extLst>
            <c:ext xmlns:c16="http://schemas.microsoft.com/office/drawing/2014/chart" uri="{C3380CC4-5D6E-409C-BE32-E72D297353CC}">
              <c16:uniqueId val="{00000000-88BE-46DA-B5EF-162DE62DF7AB}"/>
            </c:ext>
          </c:extLst>
        </c:ser>
        <c:dLbls>
          <c:dLblPos val="outEnd"/>
          <c:showLegendKey val="0"/>
          <c:showVal val="1"/>
          <c:showCatName val="0"/>
          <c:showSerName val="0"/>
          <c:showPercent val="0"/>
          <c:showBubbleSize val="0"/>
        </c:dLbls>
        <c:gapWidth val="182"/>
        <c:axId val="1854772432"/>
        <c:axId val="1854772912"/>
      </c:barChart>
      <c:catAx>
        <c:axId val="18547724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4772912"/>
        <c:crosses val="autoZero"/>
        <c:auto val="1"/>
        <c:lblAlgn val="ctr"/>
        <c:lblOffset val="100"/>
        <c:noMultiLvlLbl val="0"/>
      </c:catAx>
      <c:valAx>
        <c:axId val="1854772912"/>
        <c:scaling>
          <c:orientation val="minMax"/>
        </c:scaling>
        <c:delete val="1"/>
        <c:axPos val="t"/>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effectLst/>
                  </a:rPr>
                  <a:t>Number of countries that did not ratify some ILO conventions or have laws on sexual harrassment </a:t>
                </a:r>
              </a:p>
            </c:rich>
          </c:tx>
          <c:layout>
            <c:manualLayout>
              <c:xMode val="edge"/>
              <c:yMode val="edge"/>
              <c:x val="0.20407608121465795"/>
              <c:y val="3.105072790424395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crossAx val="1854772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43983634909941E-2"/>
          <c:y val="5.5455543271797664E-2"/>
          <c:w val="0.93423544579336737"/>
          <c:h val="0.68804450734081346"/>
        </c:manualLayout>
      </c:layout>
      <c:lineChart>
        <c:grouping val="standard"/>
        <c:varyColors val="0"/>
        <c:ser>
          <c:idx val="0"/>
          <c:order val="0"/>
          <c:tx>
            <c:strRef>
              <c:f>G1_Fig9!$B$1</c:f>
              <c:strCache>
                <c:ptCount val="1"/>
                <c:pt idx="0">
                  <c:v>Female</c:v>
                </c:pt>
              </c:strCache>
            </c:strRef>
          </c:tx>
          <c:spPr>
            <a:ln w="28575" cap="rnd">
              <a:solidFill>
                <a:schemeClr val="accent2"/>
              </a:solidFill>
              <a:round/>
            </a:ln>
            <a:effectLst/>
          </c:spPr>
          <c:marker>
            <c:symbol val="none"/>
          </c:marker>
          <c:cat>
            <c:numRef>
              <c:f>G1_Fig9!$A$2:$A$25</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G1_Fig9!$B$2:$B$25</c:f>
              <c:numCache>
                <c:formatCode>0</c:formatCode>
                <c:ptCount val="24"/>
                <c:pt idx="0">
                  <c:v>6.17000007629394</c:v>
                </c:pt>
                <c:pt idx="1">
                  <c:v>6.1399998664855904</c:v>
                </c:pt>
                <c:pt idx="2">
                  <c:v>6.1399998664855904</c:v>
                </c:pt>
                <c:pt idx="3">
                  <c:v>5.8200001716613698</c:v>
                </c:pt>
                <c:pt idx="4">
                  <c:v>5.63000011444091</c:v>
                </c:pt>
                <c:pt idx="5">
                  <c:v>5.2699999809265101</c:v>
                </c:pt>
                <c:pt idx="6">
                  <c:v>4.8000001907348597</c:v>
                </c:pt>
                <c:pt idx="7">
                  <c:v>4.5799999237060502</c:v>
                </c:pt>
                <c:pt idx="8">
                  <c:v>4.4299998283386204</c:v>
                </c:pt>
                <c:pt idx="9">
                  <c:v>4.3600001335143999</c:v>
                </c:pt>
                <c:pt idx="10">
                  <c:v>3.9700000286102202</c:v>
                </c:pt>
                <c:pt idx="11">
                  <c:v>3.6900000572204501</c:v>
                </c:pt>
                <c:pt idx="12">
                  <c:v>3.7699999809265101</c:v>
                </c:pt>
                <c:pt idx="13">
                  <c:v>3.7699999809265101</c:v>
                </c:pt>
                <c:pt idx="14">
                  <c:v>3.7300000190734801</c:v>
                </c:pt>
                <c:pt idx="15">
                  <c:v>4.4400000572204501</c:v>
                </c:pt>
                <c:pt idx="16">
                  <c:v>4.4899997711181596</c:v>
                </c:pt>
                <c:pt idx="17">
                  <c:v>5.8000001907348597</c:v>
                </c:pt>
                <c:pt idx="18">
                  <c:v>7.2199997901916504</c:v>
                </c:pt>
                <c:pt idx="19">
                  <c:v>7.2399997711181596</c:v>
                </c:pt>
              </c:numCache>
            </c:numRef>
          </c:val>
          <c:smooth val="0"/>
          <c:extLst>
            <c:ext xmlns:c16="http://schemas.microsoft.com/office/drawing/2014/chart" uri="{C3380CC4-5D6E-409C-BE32-E72D297353CC}">
              <c16:uniqueId val="{00000000-B04C-4A83-BB05-1A66914637D6}"/>
            </c:ext>
          </c:extLst>
        </c:ser>
        <c:ser>
          <c:idx val="1"/>
          <c:order val="1"/>
          <c:tx>
            <c:strRef>
              <c:f>G1_Fig9!$C$1</c:f>
              <c:strCache>
                <c:ptCount val="1"/>
                <c:pt idx="0">
                  <c:v>Male</c:v>
                </c:pt>
              </c:strCache>
            </c:strRef>
          </c:tx>
          <c:spPr>
            <a:ln w="28575" cap="rnd">
              <a:solidFill>
                <a:schemeClr val="accent1"/>
              </a:solidFill>
              <a:round/>
            </a:ln>
            <a:effectLst/>
          </c:spPr>
          <c:marker>
            <c:symbol val="none"/>
          </c:marker>
          <c:cat>
            <c:numRef>
              <c:f>G1_Fig9!$A$2:$A$25</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G1_Fig9!$C$2:$C$25</c:f>
              <c:numCache>
                <c:formatCode>0</c:formatCode>
                <c:ptCount val="24"/>
                <c:pt idx="0">
                  <c:v>4.3400001525878897</c:v>
                </c:pt>
                <c:pt idx="1">
                  <c:v>4.4099998474120996</c:v>
                </c:pt>
                <c:pt idx="2">
                  <c:v>4.3299999237060502</c:v>
                </c:pt>
                <c:pt idx="3">
                  <c:v>4.2399997711181596</c:v>
                </c:pt>
                <c:pt idx="4">
                  <c:v>4.13000011444091</c:v>
                </c:pt>
                <c:pt idx="5">
                  <c:v>3.8699998855590798</c:v>
                </c:pt>
                <c:pt idx="6">
                  <c:v>3.6199998855590798</c:v>
                </c:pt>
                <c:pt idx="7">
                  <c:v>3.5599999427795401</c:v>
                </c:pt>
                <c:pt idx="8">
                  <c:v>3.3900001049041699</c:v>
                </c:pt>
                <c:pt idx="9">
                  <c:v>3.3499999046325599</c:v>
                </c:pt>
                <c:pt idx="10">
                  <c:v>2.9700000286102202</c:v>
                </c:pt>
                <c:pt idx="11">
                  <c:v>2.95000004768371</c:v>
                </c:pt>
                <c:pt idx="12">
                  <c:v>3.0499999523162802</c:v>
                </c:pt>
                <c:pt idx="13">
                  <c:v>3.1199998855590798</c:v>
                </c:pt>
                <c:pt idx="14">
                  <c:v>3.20000004768371</c:v>
                </c:pt>
                <c:pt idx="15">
                  <c:v>4.5300002098083496</c:v>
                </c:pt>
                <c:pt idx="16">
                  <c:v>4.8600001335143999</c:v>
                </c:pt>
                <c:pt idx="17">
                  <c:v>6.3099999427795401</c:v>
                </c:pt>
                <c:pt idx="18">
                  <c:v>7.6500000953674299</c:v>
                </c:pt>
                <c:pt idx="19">
                  <c:v>7.3499999046325604</c:v>
                </c:pt>
              </c:numCache>
            </c:numRef>
          </c:val>
          <c:smooth val="0"/>
          <c:extLst>
            <c:ext xmlns:c16="http://schemas.microsoft.com/office/drawing/2014/chart" uri="{C3380CC4-5D6E-409C-BE32-E72D297353CC}">
              <c16:uniqueId val="{00000001-B04C-4A83-BB05-1A66914637D6}"/>
            </c:ext>
          </c:extLst>
        </c:ser>
        <c:dLbls>
          <c:showLegendKey val="0"/>
          <c:showVal val="0"/>
          <c:showCatName val="0"/>
          <c:showSerName val="0"/>
          <c:showPercent val="0"/>
          <c:showBubbleSize val="0"/>
        </c:dLbls>
        <c:smooth val="0"/>
        <c:axId val="869626528"/>
        <c:axId val="869627008"/>
      </c:lineChart>
      <c:catAx>
        <c:axId val="869626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Employed population (aged 15+ years) below international poverty line, Arab region (%)</a:t>
                </a:r>
              </a:p>
            </c:rich>
          </c:tx>
          <c:layout>
            <c:manualLayout>
              <c:xMode val="edge"/>
              <c:yMode val="edge"/>
              <c:x val="0.1447315360312133"/>
              <c:y val="8.20587225376964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627008"/>
        <c:crosses val="autoZero"/>
        <c:auto val="1"/>
        <c:lblAlgn val="ctr"/>
        <c:lblOffset val="100"/>
        <c:noMultiLvlLbl val="0"/>
      </c:catAx>
      <c:valAx>
        <c:axId val="86962700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626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G1_Fig10!$B$1</c:f>
              <c:strCache>
                <c:ptCount val="1"/>
                <c:pt idx="0">
                  <c:v>Proportion of mothers with newborns receiving maternity cash benefit (%)</c:v>
                </c:pt>
              </c:strCache>
            </c:strRef>
          </c:tx>
          <c:spPr>
            <a:solidFill>
              <a:schemeClr val="accent1"/>
            </a:solidFill>
            <a:ln>
              <a:noFill/>
            </a:ln>
            <a:effectLst/>
          </c:spPr>
          <c:invertIfNegative val="0"/>
          <c:cat>
            <c:strRef>
              <c:f>G1_Fig10!$A$2:$A$21</c:f>
              <c:strCache>
                <c:ptCount val="20"/>
                <c:pt idx="0">
                  <c:v>Oman</c:v>
                </c:pt>
                <c:pt idx="1">
                  <c:v>Kuwait</c:v>
                </c:pt>
                <c:pt idx="2">
                  <c:v>Tunisia</c:v>
                </c:pt>
                <c:pt idx="3">
                  <c:v>Algeria</c:v>
                </c:pt>
                <c:pt idx="4">
                  <c:v>Bahrain</c:v>
                </c:pt>
                <c:pt idx="5">
                  <c:v>Saudi Arabia</c:v>
                </c:pt>
                <c:pt idx="6">
                  <c:v>Jordan</c:v>
                </c:pt>
                <c:pt idx="7">
                  <c:v>Qatar</c:v>
                </c:pt>
                <c:pt idx="8">
                  <c:v>Egypt</c:v>
                </c:pt>
                <c:pt idx="9">
                  <c:v>Palestine</c:v>
                </c:pt>
                <c:pt idx="10">
                  <c:v>Iraq</c:v>
                </c:pt>
                <c:pt idx="11">
                  <c:v>United Arab Emirates</c:v>
                </c:pt>
                <c:pt idx="12">
                  <c:v>Djibouti</c:v>
                </c:pt>
                <c:pt idx="13">
                  <c:v>Morocco</c:v>
                </c:pt>
                <c:pt idx="14">
                  <c:v>Comoros</c:v>
                </c:pt>
                <c:pt idx="15">
                  <c:v>Lebanon</c:v>
                </c:pt>
                <c:pt idx="16">
                  <c:v>Yemen</c:v>
                </c:pt>
                <c:pt idx="17">
                  <c:v>Mauritania</c:v>
                </c:pt>
                <c:pt idx="18">
                  <c:v>Arab Region</c:v>
                </c:pt>
                <c:pt idx="19">
                  <c:v>World</c:v>
                </c:pt>
              </c:strCache>
            </c:strRef>
          </c:cat>
          <c:val>
            <c:numRef>
              <c:f>G1_Fig10!$B$2:$B$21</c:f>
              <c:numCache>
                <c:formatCode>0</c:formatCode>
                <c:ptCount val="20"/>
                <c:pt idx="0">
                  <c:v>26.4</c:v>
                </c:pt>
                <c:pt idx="1">
                  <c:v>22.2</c:v>
                </c:pt>
                <c:pt idx="2">
                  <c:v>22.1</c:v>
                </c:pt>
                <c:pt idx="3">
                  <c:v>19.600000000000001</c:v>
                </c:pt>
                <c:pt idx="4">
                  <c:v>18.2</c:v>
                </c:pt>
                <c:pt idx="5">
                  <c:v>14</c:v>
                </c:pt>
                <c:pt idx="6">
                  <c:v>9.6</c:v>
                </c:pt>
                <c:pt idx="7">
                  <c:v>9.5</c:v>
                </c:pt>
                <c:pt idx="8">
                  <c:v>8.4</c:v>
                </c:pt>
                <c:pt idx="9">
                  <c:v>6.8</c:v>
                </c:pt>
                <c:pt idx="10">
                  <c:v>5.8</c:v>
                </c:pt>
                <c:pt idx="11">
                  <c:v>5.2</c:v>
                </c:pt>
                <c:pt idx="12">
                  <c:v>4.8</c:v>
                </c:pt>
                <c:pt idx="13">
                  <c:v>4.7</c:v>
                </c:pt>
                <c:pt idx="14">
                  <c:v>3.7</c:v>
                </c:pt>
                <c:pt idx="15">
                  <c:v>1.5</c:v>
                </c:pt>
                <c:pt idx="16">
                  <c:v>1.3</c:v>
                </c:pt>
                <c:pt idx="17">
                  <c:v>0.2</c:v>
                </c:pt>
                <c:pt idx="18">
                  <c:v>8.5470000000000006</c:v>
                </c:pt>
                <c:pt idx="19">
                  <c:v>36.4</c:v>
                </c:pt>
              </c:numCache>
            </c:numRef>
          </c:val>
          <c:extLst>
            <c:ext xmlns:c16="http://schemas.microsoft.com/office/drawing/2014/chart" uri="{C3380CC4-5D6E-409C-BE32-E72D297353CC}">
              <c16:uniqueId val="{00000000-208C-431C-B9EA-C8187D0B06EC}"/>
            </c:ext>
          </c:extLst>
        </c:ser>
        <c:dLbls>
          <c:showLegendKey val="0"/>
          <c:showVal val="0"/>
          <c:showCatName val="0"/>
          <c:showSerName val="0"/>
          <c:showPercent val="0"/>
          <c:showBubbleSize val="0"/>
        </c:dLbls>
        <c:gapWidth val="219"/>
        <c:overlap val="-27"/>
        <c:axId val="1227772128"/>
        <c:axId val="1227772608"/>
      </c:barChart>
      <c:scatterChart>
        <c:scatterStyle val="lineMarker"/>
        <c:varyColors val="0"/>
        <c:ser>
          <c:idx val="1"/>
          <c:order val="1"/>
          <c:tx>
            <c:strRef>
              <c:f>G1_Fig10!$C$1</c:f>
              <c:strCache>
                <c:ptCount val="1"/>
                <c:pt idx="0">
                  <c:v>Proportion of population below international poverty line (%)</c:v>
                </c:pt>
              </c:strCache>
            </c:strRef>
          </c:tx>
          <c:spPr>
            <a:ln w="25400" cap="rnd">
              <a:noFill/>
              <a:round/>
            </a:ln>
            <a:effectLst/>
          </c:spPr>
          <c:marker>
            <c:symbol val="circle"/>
            <c:size val="5"/>
            <c:spPr>
              <a:solidFill>
                <a:schemeClr val="accent2"/>
              </a:solidFill>
              <a:ln w="9525">
                <a:solidFill>
                  <a:schemeClr val="accent2"/>
                </a:solidFill>
              </a:ln>
              <a:effectLst/>
            </c:spPr>
          </c:marker>
          <c:xVal>
            <c:strRef>
              <c:f>G1_Fig10!$A$2:$A$21</c:f>
              <c:strCache>
                <c:ptCount val="20"/>
                <c:pt idx="0">
                  <c:v>Oman</c:v>
                </c:pt>
                <c:pt idx="1">
                  <c:v>Kuwait</c:v>
                </c:pt>
                <c:pt idx="2">
                  <c:v>Tunisia</c:v>
                </c:pt>
                <c:pt idx="3">
                  <c:v>Algeria</c:v>
                </c:pt>
                <c:pt idx="4">
                  <c:v>Bahrain</c:v>
                </c:pt>
                <c:pt idx="5">
                  <c:v>Saudi Arabia</c:v>
                </c:pt>
                <c:pt idx="6">
                  <c:v>Jordan</c:v>
                </c:pt>
                <c:pt idx="7">
                  <c:v>Qatar</c:v>
                </c:pt>
                <c:pt idx="8">
                  <c:v>Egypt</c:v>
                </c:pt>
                <c:pt idx="9">
                  <c:v>Palestine</c:v>
                </c:pt>
                <c:pt idx="10">
                  <c:v>Iraq</c:v>
                </c:pt>
                <c:pt idx="11">
                  <c:v>United Arab Emirates</c:v>
                </c:pt>
                <c:pt idx="12">
                  <c:v>Djibouti</c:v>
                </c:pt>
                <c:pt idx="13">
                  <c:v>Morocco</c:v>
                </c:pt>
                <c:pt idx="14">
                  <c:v>Comoros</c:v>
                </c:pt>
                <c:pt idx="15">
                  <c:v>Lebanon</c:v>
                </c:pt>
                <c:pt idx="16">
                  <c:v>Yemen</c:v>
                </c:pt>
                <c:pt idx="17">
                  <c:v>Mauritania</c:v>
                </c:pt>
                <c:pt idx="18">
                  <c:v>Arab Region</c:v>
                </c:pt>
                <c:pt idx="19">
                  <c:v>World</c:v>
                </c:pt>
              </c:strCache>
            </c:strRef>
          </c:xVal>
          <c:yVal>
            <c:numRef>
              <c:f>G1_Fig10!$C$2:$C$21</c:f>
              <c:numCache>
                <c:formatCode>0</c:formatCode>
                <c:ptCount val="20"/>
                <c:pt idx="2">
                  <c:v>0.3</c:v>
                </c:pt>
                <c:pt idx="3">
                  <c:v>0.5</c:v>
                </c:pt>
                <c:pt idx="6">
                  <c:v>0</c:v>
                </c:pt>
                <c:pt idx="8">
                  <c:v>1.5</c:v>
                </c:pt>
                <c:pt idx="9">
                  <c:v>0.5</c:v>
                </c:pt>
                <c:pt idx="10">
                  <c:v>0.1</c:v>
                </c:pt>
                <c:pt idx="11">
                  <c:v>0</c:v>
                </c:pt>
                <c:pt idx="12">
                  <c:v>19.100000000000001</c:v>
                </c:pt>
                <c:pt idx="13">
                  <c:v>1.4</c:v>
                </c:pt>
                <c:pt idx="14">
                  <c:v>18.600000000000001</c:v>
                </c:pt>
                <c:pt idx="15">
                  <c:v>0</c:v>
                </c:pt>
                <c:pt idx="16">
                  <c:v>19.8</c:v>
                </c:pt>
                <c:pt idx="17">
                  <c:v>5.4</c:v>
                </c:pt>
                <c:pt idx="18">
                  <c:v>10.199999999999999</c:v>
                </c:pt>
                <c:pt idx="19">
                  <c:v>9</c:v>
                </c:pt>
              </c:numCache>
            </c:numRef>
          </c:yVal>
          <c:smooth val="0"/>
          <c:extLst>
            <c:ext xmlns:c16="http://schemas.microsoft.com/office/drawing/2014/chart" uri="{C3380CC4-5D6E-409C-BE32-E72D297353CC}">
              <c16:uniqueId val="{00000001-208C-431C-B9EA-C8187D0B06EC}"/>
            </c:ext>
          </c:extLst>
        </c:ser>
        <c:dLbls>
          <c:showLegendKey val="0"/>
          <c:showVal val="0"/>
          <c:showCatName val="0"/>
          <c:showSerName val="0"/>
          <c:showPercent val="0"/>
          <c:showBubbleSize val="0"/>
        </c:dLbls>
        <c:axId val="1556707504"/>
        <c:axId val="1417762207"/>
      </c:scatterChart>
      <c:catAx>
        <c:axId val="122777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7772608"/>
        <c:crosses val="autoZero"/>
        <c:auto val="1"/>
        <c:lblAlgn val="ctr"/>
        <c:lblOffset val="100"/>
        <c:noMultiLvlLbl val="0"/>
      </c:catAx>
      <c:valAx>
        <c:axId val="12277726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Maternity cash benefit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7772128"/>
        <c:crosses val="autoZero"/>
        <c:crossBetween val="between"/>
      </c:valAx>
      <c:valAx>
        <c:axId val="1417762207"/>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Extreme</a:t>
                </a:r>
                <a:r>
                  <a:rPr lang="en-US" baseline="0"/>
                  <a:t> poverty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6707504"/>
        <c:crosses val="max"/>
        <c:crossBetween val="midCat"/>
      </c:valAx>
      <c:valAx>
        <c:axId val="1556707504"/>
        <c:scaling>
          <c:orientation val="minMax"/>
        </c:scaling>
        <c:delete val="1"/>
        <c:axPos val="t"/>
        <c:majorTickMark val="out"/>
        <c:minorTickMark val="none"/>
        <c:tickLblPos val="nextTo"/>
        <c:crossAx val="1417762207"/>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G1_Fig11!$A$2</c:f>
              <c:strCache>
                <c:ptCount val="1"/>
                <c:pt idx="0">
                  <c:v>Arab Region</c:v>
                </c:pt>
              </c:strCache>
            </c:strRef>
          </c:tx>
          <c:spPr>
            <a:ln w="28575" cap="rnd">
              <a:solidFill>
                <a:schemeClr val="accent1"/>
              </a:solidFill>
              <a:round/>
            </a:ln>
            <a:effectLst/>
          </c:spPr>
          <c:marker>
            <c:symbol val="none"/>
          </c:marker>
          <c:cat>
            <c:strRef>
              <c:f>G1_Fig11!$B$1:$F$1</c:f>
              <c:strCache>
                <c:ptCount val="5"/>
                <c:pt idx="0">
                  <c:v>Female illiterate</c:v>
                </c:pt>
                <c:pt idx="1">
                  <c:v>Female vulnerable employment</c:v>
                </c:pt>
                <c:pt idx="2">
                  <c:v>Female adult unemployed</c:v>
                </c:pt>
                <c:pt idx="3">
                  <c:v>Population living in slums</c:v>
                </c:pt>
                <c:pt idx="4">
                  <c:v>Moderate or Severe Food Insecurity</c:v>
                </c:pt>
              </c:strCache>
            </c:strRef>
          </c:cat>
          <c:val>
            <c:numRef>
              <c:f>G1_Fig11!$B$2:$F$2</c:f>
              <c:numCache>
                <c:formatCode>#,##0"%"</c:formatCode>
                <c:ptCount val="5"/>
                <c:pt idx="0">
                  <c:v>31.108830000000001</c:v>
                </c:pt>
                <c:pt idx="1">
                  <c:v>28.0032</c:v>
                </c:pt>
                <c:pt idx="2">
                  <c:v>19.54</c:v>
                </c:pt>
                <c:pt idx="3">
                  <c:v>20.9</c:v>
                </c:pt>
                <c:pt idx="4">
                  <c:v>40.299999999999997</c:v>
                </c:pt>
              </c:numCache>
            </c:numRef>
          </c:val>
          <c:extLst>
            <c:ext xmlns:c16="http://schemas.microsoft.com/office/drawing/2014/chart" uri="{C3380CC4-5D6E-409C-BE32-E72D297353CC}">
              <c16:uniqueId val="{00000000-663C-4BC5-B670-6C1C3251A020}"/>
            </c:ext>
          </c:extLst>
        </c:ser>
        <c:ser>
          <c:idx val="1"/>
          <c:order val="1"/>
          <c:tx>
            <c:strRef>
              <c:f>G1_Fig11!$A$3</c:f>
              <c:strCache>
                <c:ptCount val="1"/>
                <c:pt idx="0">
                  <c:v>World</c:v>
                </c:pt>
              </c:strCache>
            </c:strRef>
          </c:tx>
          <c:spPr>
            <a:ln w="28575" cap="rnd">
              <a:solidFill>
                <a:schemeClr val="accent2"/>
              </a:solidFill>
              <a:round/>
            </a:ln>
            <a:effectLst/>
          </c:spPr>
          <c:marker>
            <c:symbol val="none"/>
          </c:marker>
          <c:cat>
            <c:strRef>
              <c:f>G1_Fig11!$B$1:$F$1</c:f>
              <c:strCache>
                <c:ptCount val="5"/>
                <c:pt idx="0">
                  <c:v>Female illiterate</c:v>
                </c:pt>
                <c:pt idx="1">
                  <c:v>Female vulnerable employment</c:v>
                </c:pt>
                <c:pt idx="2">
                  <c:v>Female adult unemployed</c:v>
                </c:pt>
                <c:pt idx="3">
                  <c:v>Population living in slums</c:v>
                </c:pt>
                <c:pt idx="4">
                  <c:v>Moderate or Severe Food Insecurity</c:v>
                </c:pt>
              </c:strCache>
            </c:strRef>
          </c:cat>
          <c:val>
            <c:numRef>
              <c:f>G1_Fig11!$B$3:$F$3</c:f>
              <c:numCache>
                <c:formatCode>#,##0"%"</c:formatCode>
                <c:ptCount val="5"/>
                <c:pt idx="0">
                  <c:v>15.9</c:v>
                </c:pt>
                <c:pt idx="1">
                  <c:v>45.1</c:v>
                </c:pt>
                <c:pt idx="2">
                  <c:v>5.3</c:v>
                </c:pt>
                <c:pt idx="3">
                  <c:v>24.8</c:v>
                </c:pt>
                <c:pt idx="4">
                  <c:v>26.7</c:v>
                </c:pt>
              </c:numCache>
            </c:numRef>
          </c:val>
          <c:extLst>
            <c:ext xmlns:c16="http://schemas.microsoft.com/office/drawing/2014/chart" uri="{C3380CC4-5D6E-409C-BE32-E72D297353CC}">
              <c16:uniqueId val="{00000001-663C-4BC5-B670-6C1C3251A020}"/>
            </c:ext>
          </c:extLst>
        </c:ser>
        <c:dLbls>
          <c:showLegendKey val="0"/>
          <c:showVal val="0"/>
          <c:showCatName val="0"/>
          <c:showSerName val="0"/>
          <c:showPercent val="0"/>
          <c:showBubbleSize val="0"/>
        </c:dLbls>
        <c:axId val="116794639"/>
        <c:axId val="116795119"/>
      </c:radarChart>
      <c:catAx>
        <c:axId val="116794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795119"/>
        <c:crosses val="autoZero"/>
        <c:auto val="1"/>
        <c:lblAlgn val="ctr"/>
        <c:lblOffset val="100"/>
        <c:noMultiLvlLbl val="0"/>
      </c:catAx>
      <c:valAx>
        <c:axId val="116795119"/>
        <c:scaling>
          <c:orientation val="minMax"/>
        </c:scaling>
        <c:delete val="0"/>
        <c:axPos val="l"/>
        <c:majorGridlines>
          <c:spPr>
            <a:ln w="9525" cap="flat" cmpd="sng" algn="ctr">
              <a:solidFill>
                <a:schemeClr val="tx1">
                  <a:lumMod val="15000"/>
                  <a:lumOff val="85000"/>
                </a:schemeClr>
              </a:solidFill>
              <a:round/>
            </a:ln>
            <a:effectLst/>
          </c:spPr>
        </c:majorGridlines>
        <c:numFmt formatCode="#,##0&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79463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25060543964234E-2"/>
          <c:y val="0.18127072738323208"/>
          <c:w val="0.94917072233606559"/>
          <c:h val="0.56917249132897896"/>
        </c:manualLayout>
      </c:layout>
      <c:lineChart>
        <c:grouping val="standard"/>
        <c:varyColors val="0"/>
        <c:ser>
          <c:idx val="0"/>
          <c:order val="0"/>
          <c:tx>
            <c:strRef>
              <c:f>G2_Fig12!$B$1</c:f>
              <c:strCache>
                <c:ptCount val="1"/>
                <c:pt idx="0">
                  <c:v>Female</c:v>
                </c:pt>
              </c:strCache>
            </c:strRef>
          </c:tx>
          <c:spPr>
            <a:ln w="28575" cap="rnd">
              <a:solidFill>
                <a:srgbClr val="FD6925"/>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G2_Fig12!$A$2:$A$6</c:f>
              <c:numCache>
                <c:formatCode>General</c:formatCode>
                <c:ptCount val="5"/>
                <c:pt idx="0">
                  <c:v>2015</c:v>
                </c:pt>
                <c:pt idx="1">
                  <c:v>2020</c:v>
                </c:pt>
                <c:pt idx="2">
                  <c:v>2021</c:v>
                </c:pt>
                <c:pt idx="3">
                  <c:v>2022</c:v>
                </c:pt>
                <c:pt idx="4">
                  <c:v>2023</c:v>
                </c:pt>
              </c:numCache>
            </c:numRef>
          </c:cat>
          <c:val>
            <c:numRef>
              <c:f>G2_Fig12!$B$2:$B$6</c:f>
              <c:numCache>
                <c:formatCode>#,##0"%"</c:formatCode>
                <c:ptCount val="5"/>
                <c:pt idx="0">
                  <c:v>32.6</c:v>
                </c:pt>
                <c:pt idx="1">
                  <c:v>36.5</c:v>
                </c:pt>
                <c:pt idx="2">
                  <c:v>39.799999999999997</c:v>
                </c:pt>
                <c:pt idx="3">
                  <c:v>39.700000000000003</c:v>
                </c:pt>
                <c:pt idx="4">
                  <c:v>40.299999999999997</c:v>
                </c:pt>
              </c:numCache>
            </c:numRef>
          </c:val>
          <c:smooth val="0"/>
          <c:extLst>
            <c:ext xmlns:c16="http://schemas.microsoft.com/office/drawing/2014/chart" uri="{C3380CC4-5D6E-409C-BE32-E72D297353CC}">
              <c16:uniqueId val="{00000000-5C7A-4A0F-87EC-688F1D446954}"/>
            </c:ext>
          </c:extLst>
        </c:ser>
        <c:ser>
          <c:idx val="1"/>
          <c:order val="1"/>
          <c:tx>
            <c:strRef>
              <c:f>G2_Fig12!$C$1</c:f>
              <c:strCache>
                <c:ptCount val="1"/>
                <c:pt idx="0">
                  <c:v>Male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4.5784776902887139E-2"/>
                  <c:y val="5.11154855643044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7A-4A0F-87EC-688F1D446954}"/>
                </c:ext>
              </c:extLst>
            </c:dLbl>
            <c:dLbl>
              <c:idx val="1"/>
              <c:layout>
                <c:manualLayout>
                  <c:x val="-4.0229221347331631E-2"/>
                  <c:y val="5.64918296503259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7A-4A0F-87EC-688F1D446954}"/>
                </c:ext>
              </c:extLst>
            </c:dLbl>
            <c:dLbl>
              <c:idx val="2"/>
              <c:layout>
                <c:manualLayout>
                  <c:x val="-4.5784776902887243E-2"/>
                  <c:y val="5.6491829650326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7A-4A0F-87EC-688F1D446954}"/>
                </c:ext>
              </c:extLst>
            </c:dLbl>
            <c:dLbl>
              <c:idx val="3"/>
              <c:layout>
                <c:manualLayout>
                  <c:x val="-5.9673665791776027E-2"/>
                  <c:y val="6.72445178223689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7A-4A0F-87EC-688F1D446954}"/>
                </c:ext>
              </c:extLst>
            </c:dLbl>
            <c:dLbl>
              <c:idx val="4"/>
              <c:layout>
                <c:manualLayout>
                  <c:x val="-4.5784776902887243E-2"/>
                  <c:y val="4.57391414782828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7A-4A0F-87EC-688F1D4469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G2_Fig12!$A$2:$A$6</c:f>
              <c:numCache>
                <c:formatCode>General</c:formatCode>
                <c:ptCount val="5"/>
                <c:pt idx="0">
                  <c:v>2015</c:v>
                </c:pt>
                <c:pt idx="1">
                  <c:v>2020</c:v>
                </c:pt>
                <c:pt idx="2">
                  <c:v>2021</c:v>
                </c:pt>
                <c:pt idx="3">
                  <c:v>2022</c:v>
                </c:pt>
                <c:pt idx="4">
                  <c:v>2023</c:v>
                </c:pt>
              </c:numCache>
            </c:numRef>
          </c:cat>
          <c:val>
            <c:numRef>
              <c:f>G2_Fig12!$C$2:$C$6</c:f>
              <c:numCache>
                <c:formatCode>#,##0"%"</c:formatCode>
                <c:ptCount val="5"/>
                <c:pt idx="0">
                  <c:v>29</c:v>
                </c:pt>
                <c:pt idx="1">
                  <c:v>33.9</c:v>
                </c:pt>
                <c:pt idx="2">
                  <c:v>36.6</c:v>
                </c:pt>
                <c:pt idx="3">
                  <c:v>34.6</c:v>
                </c:pt>
                <c:pt idx="4">
                  <c:v>36.299999999999997</c:v>
                </c:pt>
              </c:numCache>
            </c:numRef>
          </c:val>
          <c:smooth val="0"/>
          <c:extLst>
            <c:ext xmlns:c16="http://schemas.microsoft.com/office/drawing/2014/chart" uri="{C3380CC4-5D6E-409C-BE32-E72D297353CC}">
              <c16:uniqueId val="{00000001-5C7A-4A0F-87EC-688F1D446954}"/>
            </c:ext>
          </c:extLst>
        </c:ser>
        <c:dLbls>
          <c:dLblPos val="t"/>
          <c:showLegendKey val="0"/>
          <c:showVal val="1"/>
          <c:showCatName val="0"/>
          <c:showSerName val="0"/>
          <c:showPercent val="0"/>
          <c:showBubbleSize val="0"/>
        </c:dLbls>
        <c:marker val="1"/>
        <c:smooth val="0"/>
        <c:axId val="795465040"/>
        <c:axId val="795464080"/>
      </c:lineChart>
      <c:catAx>
        <c:axId val="7954650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baseline="0">
                    <a:effectLst/>
                  </a:rPr>
                  <a:t>Population aged 15+ years suffering from moderate or severe food insecurity (%)</a:t>
                </a:r>
                <a:endParaRPr lang="en-US"/>
              </a:p>
            </c:rich>
          </c:tx>
          <c:layout>
            <c:manualLayout>
              <c:xMode val="edge"/>
              <c:yMode val="edge"/>
              <c:x val="0.12913110679023845"/>
              <c:y val="4.693686992157327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464080"/>
        <c:crosses val="autoZero"/>
        <c:auto val="1"/>
        <c:lblAlgn val="ctr"/>
        <c:lblOffset val="100"/>
        <c:noMultiLvlLbl val="0"/>
      </c:catAx>
      <c:valAx>
        <c:axId val="795464080"/>
        <c:scaling>
          <c:orientation val="minMax"/>
        </c:scaling>
        <c:delete val="1"/>
        <c:axPos val="l"/>
        <c:numFmt formatCode="#,##0&quot;%&quot;" sourceLinked="1"/>
        <c:majorTickMark val="none"/>
        <c:minorTickMark val="none"/>
        <c:tickLblPos val="nextTo"/>
        <c:crossAx val="795465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effectLst/>
              </a:rPr>
              <a:t>Women aged 15-49 years with anemia (%)</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961186805820708E-2"/>
          <c:y val="0.10065034827989171"/>
          <c:w val="0.9207762638835858"/>
          <c:h val="0.69964942163037092"/>
        </c:manualLayout>
      </c:layout>
      <c:scatterChart>
        <c:scatterStyle val="lineMarker"/>
        <c:varyColors val="0"/>
        <c:ser>
          <c:idx val="0"/>
          <c:order val="0"/>
          <c:tx>
            <c:strRef>
              <c:f>G2_Fig13!$B$1</c:f>
              <c:strCache>
                <c:ptCount val="1"/>
                <c:pt idx="0">
                  <c:v>Arab Region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G2_Fig13!$A$2:$A$21</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G2_Fig13!$B$2:$B$21</c:f>
              <c:numCache>
                <c:formatCode>#,##0"%"</c:formatCode>
                <c:ptCount val="20"/>
                <c:pt idx="0">
                  <c:v>38.1</c:v>
                </c:pt>
                <c:pt idx="1">
                  <c:v>37.6</c:v>
                </c:pt>
                <c:pt idx="2">
                  <c:v>37.200000000000003</c:v>
                </c:pt>
                <c:pt idx="3">
                  <c:v>36.9</c:v>
                </c:pt>
                <c:pt idx="4">
                  <c:v>36.6</c:v>
                </c:pt>
                <c:pt idx="5">
                  <c:v>36.200000000000003</c:v>
                </c:pt>
                <c:pt idx="6">
                  <c:v>35.700000000000003</c:v>
                </c:pt>
                <c:pt idx="7">
                  <c:v>35.299999999999997</c:v>
                </c:pt>
                <c:pt idx="8">
                  <c:v>34.799999999999997</c:v>
                </c:pt>
                <c:pt idx="9">
                  <c:v>34.299999999999997</c:v>
                </c:pt>
                <c:pt idx="10">
                  <c:v>33.799999999999997</c:v>
                </c:pt>
                <c:pt idx="11">
                  <c:v>33.4</c:v>
                </c:pt>
                <c:pt idx="12">
                  <c:v>33.200000000000003</c:v>
                </c:pt>
                <c:pt idx="13">
                  <c:v>33.1</c:v>
                </c:pt>
                <c:pt idx="14">
                  <c:v>32.9</c:v>
                </c:pt>
                <c:pt idx="15">
                  <c:v>32.799999999999997</c:v>
                </c:pt>
                <c:pt idx="16">
                  <c:v>32.9</c:v>
                </c:pt>
                <c:pt idx="17">
                  <c:v>32.9</c:v>
                </c:pt>
                <c:pt idx="18">
                  <c:v>33</c:v>
                </c:pt>
                <c:pt idx="19">
                  <c:v>33.200000000000003</c:v>
                </c:pt>
              </c:numCache>
            </c:numRef>
          </c:yVal>
          <c:smooth val="0"/>
          <c:extLst>
            <c:ext xmlns:c16="http://schemas.microsoft.com/office/drawing/2014/chart" uri="{C3380CC4-5D6E-409C-BE32-E72D297353CC}">
              <c16:uniqueId val="{00000000-A2CE-4DBC-9D84-41AE1B8D3751}"/>
            </c:ext>
          </c:extLst>
        </c:ser>
        <c:ser>
          <c:idx val="1"/>
          <c:order val="1"/>
          <c:tx>
            <c:strRef>
              <c:f>G2_Fig13!$C$1</c:f>
              <c:strCache>
                <c:ptCount val="1"/>
                <c:pt idx="0">
                  <c:v>World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3.4313090647771091E-2"/>
                  <c:y val="3.67084182044811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CE-4DBC-9D84-41AE1B8D3751}"/>
                </c:ext>
              </c:extLst>
            </c:dLbl>
            <c:dLbl>
              <c:idx val="1"/>
              <c:layout>
                <c:manualLayout>
                  <c:x val="-2.4499547958860401E-2"/>
                  <c:y val="5.9874441370504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CE-4DBC-9D84-41AE1B8D3751}"/>
                </c:ext>
              </c:extLst>
            </c:dLbl>
            <c:dLbl>
              <c:idx val="2"/>
              <c:layout>
                <c:manualLayout>
                  <c:x val="-2.6462256496642533E-2"/>
                  <c:y val="3.67084182044811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CE-4DBC-9D84-41AE1B8D3751}"/>
                </c:ext>
              </c:extLst>
            </c:dLbl>
            <c:dLbl>
              <c:idx val="3"/>
              <c:layout>
                <c:manualLayout>
                  <c:x val="-2.8424965034424671E-2"/>
                  <c:y val="4.4430425926488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CE-4DBC-9D84-41AE1B8D3751}"/>
                </c:ext>
              </c:extLst>
            </c:dLbl>
            <c:dLbl>
              <c:idx val="4"/>
              <c:layout>
                <c:manualLayout>
                  <c:x val="-2.6462256496642533E-2"/>
                  <c:y val="4.82914297874927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CE-4DBC-9D84-41AE1B8D3751}"/>
                </c:ext>
              </c:extLst>
            </c:dLbl>
            <c:dLbl>
              <c:idx val="5"/>
              <c:layout>
                <c:manualLayout>
                  <c:x val="-2.8424965034424671E-2"/>
                  <c:y val="4.44304259264889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CE-4DBC-9D84-41AE1B8D3751}"/>
                </c:ext>
              </c:extLst>
            </c:dLbl>
            <c:dLbl>
              <c:idx val="6"/>
              <c:layout>
                <c:manualLayout>
                  <c:x val="-2.6462256496642533E-2"/>
                  <c:y val="4.05694220654850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CE-4DBC-9D84-41AE1B8D3751}"/>
                </c:ext>
              </c:extLst>
            </c:dLbl>
            <c:dLbl>
              <c:idx val="7"/>
              <c:layout>
                <c:manualLayout>
                  <c:x val="-2.8424965034424671E-2"/>
                  <c:y val="3.67084182044811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CE-4DBC-9D84-41AE1B8D3751}"/>
                </c:ext>
              </c:extLst>
            </c:dLbl>
            <c:dLbl>
              <c:idx val="8"/>
              <c:layout>
                <c:manualLayout>
                  <c:x val="-3.2350382109988952E-2"/>
                  <c:y val="4.05694220654850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CE-4DBC-9D84-41AE1B8D3751}"/>
                </c:ext>
              </c:extLst>
            </c:dLbl>
            <c:dLbl>
              <c:idx val="9"/>
              <c:layout>
                <c:manualLayout>
                  <c:x val="-2.8424965034424671E-2"/>
                  <c:y val="4.44304259264889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2CE-4DBC-9D84-41AE1B8D3751}"/>
                </c:ext>
              </c:extLst>
            </c:dLbl>
            <c:dLbl>
              <c:idx val="10"/>
              <c:layout>
                <c:manualLayout>
                  <c:x val="-3.2350382109989022E-2"/>
                  <c:y val="3.2847414343477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2CE-4DBC-9D84-41AE1B8D3751}"/>
                </c:ext>
              </c:extLst>
            </c:dLbl>
            <c:dLbl>
              <c:idx val="11"/>
              <c:layout>
                <c:manualLayout>
                  <c:x val="-3.2350382109988952E-2"/>
                  <c:y val="4.44304259264889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2CE-4DBC-9D84-41AE1B8D3751}"/>
                </c:ext>
              </c:extLst>
            </c:dLbl>
            <c:dLbl>
              <c:idx val="12"/>
              <c:layout>
                <c:manualLayout>
                  <c:x val="-2.8424965034424744E-2"/>
                  <c:y val="4.82914297874927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2CE-4DBC-9D84-41AE1B8D3751}"/>
                </c:ext>
              </c:extLst>
            </c:dLbl>
            <c:dLbl>
              <c:idx val="13"/>
              <c:layout>
                <c:manualLayout>
                  <c:x val="-2.6462256496642605E-2"/>
                  <c:y val="4.82914297874927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2CE-4DBC-9D84-41AE1B8D3751}"/>
                </c:ext>
              </c:extLst>
            </c:dLbl>
            <c:dLbl>
              <c:idx val="14"/>
              <c:layout>
                <c:manualLayout>
                  <c:x val="-2.2536839421078252E-2"/>
                  <c:y val="3.67084182044811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2CE-4DBC-9D84-41AE1B8D3751}"/>
                </c:ext>
              </c:extLst>
            </c:dLbl>
            <c:dLbl>
              <c:idx val="15"/>
              <c:layout>
                <c:manualLayout>
                  <c:x val="-2.6462256496642533E-2"/>
                  <c:y val="5.9874441370504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2CE-4DBC-9D84-41AE1B8D3751}"/>
                </c:ext>
              </c:extLst>
            </c:dLbl>
            <c:dLbl>
              <c:idx val="16"/>
              <c:layout>
                <c:manualLayout>
                  <c:x val="-3.2350382109988952E-2"/>
                  <c:y val="4.44304259264889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2CE-4DBC-9D84-41AE1B8D3751}"/>
                </c:ext>
              </c:extLst>
            </c:dLbl>
            <c:dLbl>
              <c:idx val="17"/>
              <c:layout>
                <c:manualLayout>
                  <c:x val="-3.2350382109988952E-2"/>
                  <c:y val="3.67084182044811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2CE-4DBC-9D84-41AE1B8D3751}"/>
                </c:ext>
              </c:extLst>
            </c:dLbl>
            <c:dLbl>
              <c:idx val="18"/>
              <c:layout>
                <c:manualLayout>
                  <c:x val="-3.038767357220681E-2"/>
                  <c:y val="4.44304259264889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2CE-4DBC-9D84-41AE1B8D3751}"/>
                </c:ext>
              </c:extLst>
            </c:dLbl>
            <c:dLbl>
              <c:idx val="19"/>
              <c:layout>
                <c:manualLayout>
                  <c:x val="-2.4499547958860536E-2"/>
                  <c:y val="3.67084182044811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2CE-4DBC-9D84-41AE1B8D37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G2_Fig13!$A$2:$A$21</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G2_Fig13!$C$2:$C$21</c:f>
              <c:numCache>
                <c:formatCode>#,##0"%"</c:formatCode>
                <c:ptCount val="20"/>
                <c:pt idx="0">
                  <c:v>31.2000007629394</c:v>
                </c:pt>
                <c:pt idx="1">
                  <c:v>30.899999618530199</c:v>
                </c:pt>
                <c:pt idx="2">
                  <c:v>30.600000381469702</c:v>
                </c:pt>
                <c:pt idx="3">
                  <c:v>30.299999237060501</c:v>
                </c:pt>
                <c:pt idx="4">
                  <c:v>30.100000381469702</c:v>
                </c:pt>
                <c:pt idx="5">
                  <c:v>29.899999618530199</c:v>
                </c:pt>
                <c:pt idx="6">
                  <c:v>29.600000381469702</c:v>
                </c:pt>
                <c:pt idx="7">
                  <c:v>29.299999237060501</c:v>
                </c:pt>
                <c:pt idx="8">
                  <c:v>29.100000381469702</c:v>
                </c:pt>
                <c:pt idx="9">
                  <c:v>28.799999237060501</c:v>
                </c:pt>
                <c:pt idx="10">
                  <c:v>28.600000381469702</c:v>
                </c:pt>
                <c:pt idx="11">
                  <c:v>28.5</c:v>
                </c:pt>
                <c:pt idx="12">
                  <c:v>28.5</c:v>
                </c:pt>
                <c:pt idx="13">
                  <c:v>28.5</c:v>
                </c:pt>
                <c:pt idx="14">
                  <c:v>28.600000381469702</c:v>
                </c:pt>
                <c:pt idx="15">
                  <c:v>28.799999237060501</c:v>
                </c:pt>
                <c:pt idx="16">
                  <c:v>29</c:v>
                </c:pt>
                <c:pt idx="17">
                  <c:v>29.299999237060501</c:v>
                </c:pt>
                <c:pt idx="18">
                  <c:v>29.600000381469702</c:v>
                </c:pt>
                <c:pt idx="19">
                  <c:v>29.899999618530199</c:v>
                </c:pt>
              </c:numCache>
            </c:numRef>
          </c:yVal>
          <c:smooth val="0"/>
          <c:extLst>
            <c:ext xmlns:c16="http://schemas.microsoft.com/office/drawing/2014/chart" uri="{C3380CC4-5D6E-409C-BE32-E72D297353CC}">
              <c16:uniqueId val="{00000001-A2CE-4DBC-9D84-41AE1B8D3751}"/>
            </c:ext>
          </c:extLst>
        </c:ser>
        <c:dLbls>
          <c:dLblPos val="t"/>
          <c:showLegendKey val="0"/>
          <c:showVal val="1"/>
          <c:showCatName val="0"/>
          <c:showSerName val="0"/>
          <c:showPercent val="0"/>
          <c:showBubbleSize val="0"/>
        </c:dLbls>
        <c:axId val="710210880"/>
        <c:axId val="710212800"/>
      </c:scatterChart>
      <c:valAx>
        <c:axId val="710210880"/>
        <c:scaling>
          <c:orientation val="minMax"/>
          <c:min val="200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212800"/>
        <c:crosses val="autoZero"/>
        <c:crossBetween val="midCat"/>
      </c:valAx>
      <c:valAx>
        <c:axId val="710212800"/>
        <c:scaling>
          <c:orientation val="minMax"/>
        </c:scaling>
        <c:delete val="1"/>
        <c:axPos val="l"/>
        <c:numFmt formatCode="#,##0&quot;%&quot;" sourceLinked="1"/>
        <c:majorTickMark val="none"/>
        <c:minorTickMark val="none"/>
        <c:tickLblPos val="nextTo"/>
        <c:crossAx val="710210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effectLst/>
              </a:rPr>
              <a:t>Maternal mortality ratio and births attendance in the Arab region and the world, latest year</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G2_Fig14!$B$1</c:f>
              <c:strCache>
                <c:ptCount val="1"/>
                <c:pt idx="0">
                  <c:v>Proportion of births attended by skilled health personnel (%)</c:v>
                </c:pt>
              </c:strCache>
            </c:strRef>
          </c:tx>
          <c:spPr>
            <a:solidFill>
              <a:schemeClr val="accent1"/>
            </a:solidFill>
            <a:ln>
              <a:noFill/>
            </a:ln>
            <a:effectLst/>
          </c:spPr>
          <c:invertIfNegative val="0"/>
          <c:cat>
            <c:strRef>
              <c:f>G2_Fig14!$A$2:$A$25</c:f>
              <c:strCache>
                <c:ptCount val="24"/>
                <c:pt idx="0">
                  <c:v>Qatar</c:v>
                </c:pt>
                <c:pt idx="1">
                  <c:v>Oman</c:v>
                </c:pt>
                <c:pt idx="2">
                  <c:v>United Arab Emirates</c:v>
                </c:pt>
                <c:pt idx="3">
                  <c:v>Jordan</c:v>
                </c:pt>
                <c:pt idx="4">
                  <c:v>Libya</c:v>
                </c:pt>
                <c:pt idx="5">
                  <c:v>Saudi Arabia</c:v>
                </c:pt>
                <c:pt idx="6">
                  <c:v>Palestine</c:v>
                </c:pt>
                <c:pt idx="7">
                  <c:v>Tunisia</c:v>
                </c:pt>
                <c:pt idx="8">
                  <c:v>Kuwait</c:v>
                </c:pt>
                <c:pt idx="9">
                  <c:v>Algeria</c:v>
                </c:pt>
                <c:pt idx="10">
                  <c:v>Bahrain</c:v>
                </c:pt>
                <c:pt idx="11">
                  <c:v>Lebanon</c:v>
                </c:pt>
                <c:pt idx="12">
                  <c:v>Comoros</c:v>
                </c:pt>
                <c:pt idx="13">
                  <c:v>Egypt</c:v>
                </c:pt>
                <c:pt idx="14">
                  <c:v>Syria</c:v>
                </c:pt>
                <c:pt idx="15">
                  <c:v>Iraq</c:v>
                </c:pt>
                <c:pt idx="16">
                  <c:v>Djibouti</c:v>
                </c:pt>
                <c:pt idx="17">
                  <c:v>Morocco</c:v>
                </c:pt>
                <c:pt idx="18">
                  <c:v>Sudan</c:v>
                </c:pt>
                <c:pt idx="19">
                  <c:v>Mauritania</c:v>
                </c:pt>
                <c:pt idx="20">
                  <c:v>Yemen</c:v>
                </c:pt>
                <c:pt idx="21">
                  <c:v>Somalia</c:v>
                </c:pt>
                <c:pt idx="22">
                  <c:v>Arab Region</c:v>
                </c:pt>
                <c:pt idx="23">
                  <c:v>World</c:v>
                </c:pt>
              </c:strCache>
            </c:strRef>
          </c:cat>
          <c:val>
            <c:numRef>
              <c:f>G2_Fig14!$B$2:$B$25</c:f>
              <c:numCache>
                <c:formatCode>0</c:formatCode>
                <c:ptCount val="24"/>
                <c:pt idx="0">
                  <c:v>100</c:v>
                </c:pt>
                <c:pt idx="1">
                  <c:v>100</c:v>
                </c:pt>
                <c:pt idx="2">
                  <c:v>99.9</c:v>
                </c:pt>
                <c:pt idx="3">
                  <c:v>99.9</c:v>
                </c:pt>
                <c:pt idx="4">
                  <c:v>99.9</c:v>
                </c:pt>
                <c:pt idx="5">
                  <c:v>99.8</c:v>
                </c:pt>
                <c:pt idx="6">
                  <c:v>99.7</c:v>
                </c:pt>
                <c:pt idx="7">
                  <c:v>99.5</c:v>
                </c:pt>
                <c:pt idx="8">
                  <c:v>99.2</c:v>
                </c:pt>
                <c:pt idx="9">
                  <c:v>98.8</c:v>
                </c:pt>
                <c:pt idx="10">
                  <c:v>98.2</c:v>
                </c:pt>
                <c:pt idx="11">
                  <c:v>98.2</c:v>
                </c:pt>
                <c:pt idx="12">
                  <c:v>97.2</c:v>
                </c:pt>
                <c:pt idx="13">
                  <c:v>97.1</c:v>
                </c:pt>
                <c:pt idx="14">
                  <c:v>96.2</c:v>
                </c:pt>
                <c:pt idx="15">
                  <c:v>95.6</c:v>
                </c:pt>
                <c:pt idx="16">
                  <c:v>87.4</c:v>
                </c:pt>
                <c:pt idx="17">
                  <c:v>86.6</c:v>
                </c:pt>
                <c:pt idx="18">
                  <c:v>77.7</c:v>
                </c:pt>
                <c:pt idx="19">
                  <c:v>70.400000000000006</c:v>
                </c:pt>
                <c:pt idx="20">
                  <c:v>60.9</c:v>
                </c:pt>
                <c:pt idx="21">
                  <c:v>31.9</c:v>
                </c:pt>
                <c:pt idx="22">
                  <c:v>88.4</c:v>
                </c:pt>
                <c:pt idx="23">
                  <c:v>86.3</c:v>
                </c:pt>
              </c:numCache>
            </c:numRef>
          </c:val>
          <c:extLst>
            <c:ext xmlns:c16="http://schemas.microsoft.com/office/drawing/2014/chart" uri="{C3380CC4-5D6E-409C-BE32-E72D297353CC}">
              <c16:uniqueId val="{00000000-182B-4002-89C1-F82B4FBAD5CB}"/>
            </c:ext>
          </c:extLst>
        </c:ser>
        <c:dLbls>
          <c:showLegendKey val="0"/>
          <c:showVal val="0"/>
          <c:showCatName val="0"/>
          <c:showSerName val="0"/>
          <c:showPercent val="0"/>
          <c:showBubbleSize val="0"/>
        </c:dLbls>
        <c:gapWidth val="219"/>
        <c:overlap val="-27"/>
        <c:axId val="895464512"/>
        <c:axId val="895473632"/>
      </c:barChart>
      <c:lineChart>
        <c:grouping val="stacked"/>
        <c:varyColors val="0"/>
        <c:ser>
          <c:idx val="1"/>
          <c:order val="1"/>
          <c:tx>
            <c:strRef>
              <c:f>G2_Fig14!$C$1</c:f>
              <c:strCache>
                <c:ptCount val="1"/>
                <c:pt idx="0">
                  <c:v>Maternal mortality ratio (PER_100,000_LIVE_BIRTHS)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G2_Fig14!$A$2:$A$25</c:f>
              <c:strCache>
                <c:ptCount val="24"/>
                <c:pt idx="0">
                  <c:v>Qatar</c:v>
                </c:pt>
                <c:pt idx="1">
                  <c:v>Oman</c:v>
                </c:pt>
                <c:pt idx="2">
                  <c:v>United Arab Emirates</c:v>
                </c:pt>
                <c:pt idx="3">
                  <c:v>Jordan</c:v>
                </c:pt>
                <c:pt idx="4">
                  <c:v>Libya</c:v>
                </c:pt>
                <c:pt idx="5">
                  <c:v>Saudi Arabia</c:v>
                </c:pt>
                <c:pt idx="6">
                  <c:v>Palestine</c:v>
                </c:pt>
                <c:pt idx="7">
                  <c:v>Tunisia</c:v>
                </c:pt>
                <c:pt idx="8">
                  <c:v>Kuwait</c:v>
                </c:pt>
                <c:pt idx="9">
                  <c:v>Algeria</c:v>
                </c:pt>
                <c:pt idx="10">
                  <c:v>Bahrain</c:v>
                </c:pt>
                <c:pt idx="11">
                  <c:v>Lebanon</c:v>
                </c:pt>
                <c:pt idx="12">
                  <c:v>Comoros</c:v>
                </c:pt>
                <c:pt idx="13">
                  <c:v>Egypt</c:v>
                </c:pt>
                <c:pt idx="14">
                  <c:v>Syria</c:v>
                </c:pt>
                <c:pt idx="15">
                  <c:v>Iraq</c:v>
                </c:pt>
                <c:pt idx="16">
                  <c:v>Djibouti</c:v>
                </c:pt>
                <c:pt idx="17">
                  <c:v>Morocco</c:v>
                </c:pt>
                <c:pt idx="18">
                  <c:v>Sudan</c:v>
                </c:pt>
                <c:pt idx="19">
                  <c:v>Mauritania</c:v>
                </c:pt>
                <c:pt idx="20">
                  <c:v>Yemen</c:v>
                </c:pt>
                <c:pt idx="21">
                  <c:v>Somalia</c:v>
                </c:pt>
                <c:pt idx="22">
                  <c:v>Arab Region</c:v>
                </c:pt>
                <c:pt idx="23">
                  <c:v>World</c:v>
                </c:pt>
              </c:strCache>
            </c:strRef>
          </c:cat>
          <c:val>
            <c:numRef>
              <c:f>G2_Fig14!$C$2:$C$25</c:f>
              <c:numCache>
                <c:formatCode>0</c:formatCode>
                <c:ptCount val="24"/>
                <c:pt idx="0">
                  <c:v>7.6054300000000001</c:v>
                </c:pt>
                <c:pt idx="1">
                  <c:v>17.006710000000002</c:v>
                </c:pt>
                <c:pt idx="2">
                  <c:v>9.3407</c:v>
                </c:pt>
                <c:pt idx="3">
                  <c:v>41.314790000000002</c:v>
                </c:pt>
                <c:pt idx="4">
                  <c:v>72.127099999999999</c:v>
                </c:pt>
                <c:pt idx="5">
                  <c:v>16.203759999999999</c:v>
                </c:pt>
                <c:pt idx="6">
                  <c:v>20.43431</c:v>
                </c:pt>
                <c:pt idx="7">
                  <c:v>36.625579999999999</c:v>
                </c:pt>
                <c:pt idx="8">
                  <c:v>7.1708999999999996</c:v>
                </c:pt>
                <c:pt idx="9">
                  <c:v>77.694789999999998</c:v>
                </c:pt>
                <c:pt idx="10">
                  <c:v>15.897880000000001</c:v>
                </c:pt>
                <c:pt idx="11">
                  <c:v>20.62462</c:v>
                </c:pt>
                <c:pt idx="12">
                  <c:v>216.95373000000001</c:v>
                </c:pt>
                <c:pt idx="13">
                  <c:v>16.819710000000001</c:v>
                </c:pt>
                <c:pt idx="14">
                  <c:v>29.91733</c:v>
                </c:pt>
                <c:pt idx="15">
                  <c:v>76.110460000000003</c:v>
                </c:pt>
                <c:pt idx="16">
                  <c:v>234.49007</c:v>
                </c:pt>
                <c:pt idx="17">
                  <c:v>71.851849999999999</c:v>
                </c:pt>
                <c:pt idx="18">
                  <c:v>270.35534999999999</c:v>
                </c:pt>
                <c:pt idx="19">
                  <c:v>463.83210000000003</c:v>
                </c:pt>
                <c:pt idx="20">
                  <c:v>183.39972</c:v>
                </c:pt>
                <c:pt idx="21">
                  <c:v>620.68232</c:v>
                </c:pt>
                <c:pt idx="22">
                  <c:v>139.25069999999999</c:v>
                </c:pt>
                <c:pt idx="23">
                  <c:v>223.5</c:v>
                </c:pt>
              </c:numCache>
            </c:numRef>
          </c:val>
          <c:smooth val="0"/>
          <c:extLst>
            <c:ext xmlns:c16="http://schemas.microsoft.com/office/drawing/2014/chart" uri="{C3380CC4-5D6E-409C-BE32-E72D297353CC}">
              <c16:uniqueId val="{00000001-182B-4002-89C1-F82B4FBAD5CB}"/>
            </c:ext>
          </c:extLst>
        </c:ser>
        <c:dLbls>
          <c:showLegendKey val="0"/>
          <c:showVal val="0"/>
          <c:showCatName val="0"/>
          <c:showSerName val="0"/>
          <c:showPercent val="0"/>
          <c:showBubbleSize val="0"/>
        </c:dLbls>
        <c:marker val="1"/>
        <c:smooth val="0"/>
        <c:axId val="895448672"/>
        <c:axId val="895471232"/>
      </c:lineChart>
      <c:catAx>
        <c:axId val="895448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5471232"/>
        <c:crosses val="autoZero"/>
        <c:auto val="1"/>
        <c:lblAlgn val="ctr"/>
        <c:lblOffset val="100"/>
        <c:noMultiLvlLbl val="0"/>
      </c:catAx>
      <c:valAx>
        <c:axId val="895471232"/>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Maternal mortality ratio (PER_100,000_LIVE_BIRTHS)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5448672"/>
        <c:crosses val="autoZero"/>
        <c:crossBetween val="between"/>
      </c:valAx>
      <c:valAx>
        <c:axId val="895473632"/>
        <c:scaling>
          <c:orientation val="minMax"/>
          <c:max val="100"/>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Births attended by skilled health personnel (%)</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5464512"/>
        <c:crosses val="max"/>
        <c:crossBetween val="between"/>
      </c:valAx>
      <c:catAx>
        <c:axId val="895464512"/>
        <c:scaling>
          <c:orientation val="minMax"/>
        </c:scaling>
        <c:delete val="1"/>
        <c:axPos val="b"/>
        <c:numFmt formatCode="General" sourceLinked="1"/>
        <c:majorTickMark val="out"/>
        <c:minorTickMark val="none"/>
        <c:tickLblPos val="nextTo"/>
        <c:crossAx val="895473632"/>
        <c:crosses val="autoZero"/>
        <c:auto val="1"/>
        <c:lblAlgn val="ctr"/>
        <c:lblOffset val="100"/>
        <c:noMultiLvlLbl val="0"/>
      </c:catAx>
      <c:spPr>
        <a:noFill/>
        <a:ln>
          <a:noFill/>
        </a:ln>
        <a:effectLst/>
      </c:spPr>
    </c:plotArea>
    <c:legend>
      <c:legendPos val="b"/>
      <c:layout>
        <c:manualLayout>
          <c:xMode val="edge"/>
          <c:yMode val="edge"/>
          <c:x val="0.1871979915554034"/>
          <c:y val="0.8138023692984323"/>
          <c:w val="0.62753623188405805"/>
          <c:h val="0.139901255586294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G2_Fig15!$B$1</c:f>
              <c:strCache>
                <c:ptCount val="1"/>
                <c:pt idx="0">
                  <c:v>Before 18 (%)</c:v>
                </c:pt>
              </c:strCache>
            </c:strRef>
          </c:tx>
          <c:spPr>
            <a:solidFill>
              <a:schemeClr val="accent1"/>
            </a:solidFill>
            <a:ln>
              <a:noFill/>
            </a:ln>
            <a:effectLst/>
          </c:spPr>
          <c:invertIfNegative val="0"/>
          <c:cat>
            <c:strRef>
              <c:f>G2_Fig15!$A$2:$A$18</c:f>
              <c:strCache>
                <c:ptCount val="17"/>
                <c:pt idx="0">
                  <c:v>Somalia</c:v>
                </c:pt>
                <c:pt idx="1">
                  <c:v>Mauritania</c:v>
                </c:pt>
                <c:pt idx="2">
                  <c:v>Sudan</c:v>
                </c:pt>
                <c:pt idx="3">
                  <c:v>Yemen</c:v>
                </c:pt>
                <c:pt idx="4">
                  <c:v>Iraq</c:v>
                </c:pt>
                <c:pt idx="5">
                  <c:v>Comoros</c:v>
                </c:pt>
                <c:pt idx="6">
                  <c:v>Egypt</c:v>
                </c:pt>
                <c:pt idx="7">
                  <c:v>Morocco</c:v>
                </c:pt>
                <c:pt idx="8">
                  <c:v>Palestine</c:v>
                </c:pt>
                <c:pt idx="9">
                  <c:v>Syria</c:v>
                </c:pt>
                <c:pt idx="10">
                  <c:v>Jordan</c:v>
                </c:pt>
                <c:pt idx="11">
                  <c:v>Djibouti</c:v>
                </c:pt>
                <c:pt idx="12">
                  <c:v>Lebanon</c:v>
                </c:pt>
                <c:pt idx="13">
                  <c:v>Qatar</c:v>
                </c:pt>
                <c:pt idx="14">
                  <c:v>Oman</c:v>
                </c:pt>
                <c:pt idx="15">
                  <c:v>Algeria</c:v>
                </c:pt>
                <c:pt idx="16">
                  <c:v>Tunisia</c:v>
                </c:pt>
              </c:strCache>
            </c:strRef>
          </c:cat>
          <c:val>
            <c:numRef>
              <c:f>G2_Fig15!$B$2:$B$18</c:f>
              <c:numCache>
                <c:formatCode>0</c:formatCode>
                <c:ptCount val="17"/>
                <c:pt idx="0">
                  <c:v>45.3</c:v>
                </c:pt>
                <c:pt idx="1">
                  <c:v>36.6</c:v>
                </c:pt>
                <c:pt idx="2">
                  <c:v>34.200000000000003</c:v>
                </c:pt>
                <c:pt idx="3">
                  <c:v>29.6</c:v>
                </c:pt>
                <c:pt idx="4">
                  <c:v>27.9</c:v>
                </c:pt>
                <c:pt idx="5">
                  <c:v>20.7</c:v>
                </c:pt>
                <c:pt idx="6">
                  <c:v>15.8</c:v>
                </c:pt>
                <c:pt idx="7">
                  <c:v>13.7</c:v>
                </c:pt>
                <c:pt idx="8">
                  <c:v>13.4</c:v>
                </c:pt>
                <c:pt idx="9">
                  <c:v>13.3</c:v>
                </c:pt>
                <c:pt idx="10">
                  <c:v>9.6999999999999993</c:v>
                </c:pt>
                <c:pt idx="11">
                  <c:v>6.5</c:v>
                </c:pt>
                <c:pt idx="12">
                  <c:v>6</c:v>
                </c:pt>
                <c:pt idx="13">
                  <c:v>4.2</c:v>
                </c:pt>
                <c:pt idx="14">
                  <c:v>4</c:v>
                </c:pt>
                <c:pt idx="15">
                  <c:v>3.8</c:v>
                </c:pt>
                <c:pt idx="16">
                  <c:v>1.5</c:v>
                </c:pt>
              </c:numCache>
            </c:numRef>
          </c:val>
          <c:extLst>
            <c:ext xmlns:c16="http://schemas.microsoft.com/office/drawing/2014/chart" uri="{C3380CC4-5D6E-409C-BE32-E72D297353CC}">
              <c16:uniqueId val="{00000000-741D-4915-8D23-34FA3DC8A81E}"/>
            </c:ext>
          </c:extLst>
        </c:ser>
        <c:ser>
          <c:idx val="1"/>
          <c:order val="1"/>
          <c:tx>
            <c:strRef>
              <c:f>G2_Fig15!$C$1</c:f>
              <c:strCache>
                <c:ptCount val="1"/>
                <c:pt idx="0">
                  <c:v>Before 15 (%)</c:v>
                </c:pt>
              </c:strCache>
            </c:strRef>
          </c:tx>
          <c:spPr>
            <a:solidFill>
              <a:schemeClr val="accent2"/>
            </a:solidFill>
            <a:ln>
              <a:noFill/>
            </a:ln>
            <a:effectLst/>
          </c:spPr>
          <c:invertIfNegative val="0"/>
          <c:cat>
            <c:strRef>
              <c:f>G2_Fig15!$A$2:$A$18</c:f>
              <c:strCache>
                <c:ptCount val="17"/>
                <c:pt idx="0">
                  <c:v>Somalia</c:v>
                </c:pt>
                <c:pt idx="1">
                  <c:v>Mauritania</c:v>
                </c:pt>
                <c:pt idx="2">
                  <c:v>Sudan</c:v>
                </c:pt>
                <c:pt idx="3">
                  <c:v>Yemen</c:v>
                </c:pt>
                <c:pt idx="4">
                  <c:v>Iraq</c:v>
                </c:pt>
                <c:pt idx="5">
                  <c:v>Comoros</c:v>
                </c:pt>
                <c:pt idx="6">
                  <c:v>Egypt</c:v>
                </c:pt>
                <c:pt idx="7">
                  <c:v>Morocco</c:v>
                </c:pt>
                <c:pt idx="8">
                  <c:v>Palestine</c:v>
                </c:pt>
                <c:pt idx="9">
                  <c:v>Syria</c:v>
                </c:pt>
                <c:pt idx="10">
                  <c:v>Jordan</c:v>
                </c:pt>
                <c:pt idx="11">
                  <c:v>Djibouti</c:v>
                </c:pt>
                <c:pt idx="12">
                  <c:v>Lebanon</c:v>
                </c:pt>
                <c:pt idx="13">
                  <c:v>Qatar</c:v>
                </c:pt>
                <c:pt idx="14">
                  <c:v>Oman</c:v>
                </c:pt>
                <c:pt idx="15">
                  <c:v>Algeria</c:v>
                </c:pt>
                <c:pt idx="16">
                  <c:v>Tunisia</c:v>
                </c:pt>
              </c:strCache>
            </c:strRef>
          </c:cat>
          <c:val>
            <c:numRef>
              <c:f>G2_Fig15!$C$2:$C$18</c:f>
              <c:numCache>
                <c:formatCode>0</c:formatCode>
                <c:ptCount val="17"/>
                <c:pt idx="0">
                  <c:v>8.4</c:v>
                </c:pt>
                <c:pt idx="1">
                  <c:v>15.5</c:v>
                </c:pt>
                <c:pt idx="2">
                  <c:v>11.9</c:v>
                </c:pt>
                <c:pt idx="3">
                  <c:v>6.5</c:v>
                </c:pt>
                <c:pt idx="4">
                  <c:v>7.2</c:v>
                </c:pt>
                <c:pt idx="5">
                  <c:v>4.9000000000000004</c:v>
                </c:pt>
                <c:pt idx="6">
                  <c:v>1.8</c:v>
                </c:pt>
                <c:pt idx="7">
                  <c:v>0.5</c:v>
                </c:pt>
                <c:pt idx="8">
                  <c:v>0.7</c:v>
                </c:pt>
                <c:pt idx="9">
                  <c:v>2.5</c:v>
                </c:pt>
                <c:pt idx="10">
                  <c:v>1.5</c:v>
                </c:pt>
                <c:pt idx="11">
                  <c:v>1.4</c:v>
                </c:pt>
                <c:pt idx="12">
                  <c:v>1.4</c:v>
                </c:pt>
                <c:pt idx="13">
                  <c:v>0</c:v>
                </c:pt>
                <c:pt idx="14">
                  <c:v>1.2</c:v>
                </c:pt>
                <c:pt idx="15">
                  <c:v>0</c:v>
                </c:pt>
                <c:pt idx="16">
                  <c:v>0</c:v>
                </c:pt>
              </c:numCache>
            </c:numRef>
          </c:val>
          <c:extLst>
            <c:ext xmlns:c16="http://schemas.microsoft.com/office/drawing/2014/chart" uri="{C3380CC4-5D6E-409C-BE32-E72D297353CC}">
              <c16:uniqueId val="{00000001-741D-4915-8D23-34FA3DC8A81E}"/>
            </c:ext>
          </c:extLst>
        </c:ser>
        <c:dLbls>
          <c:showLegendKey val="0"/>
          <c:showVal val="0"/>
          <c:showCatName val="0"/>
          <c:showSerName val="0"/>
          <c:showPercent val="0"/>
          <c:showBubbleSize val="0"/>
        </c:dLbls>
        <c:gapWidth val="219"/>
        <c:overlap val="-27"/>
        <c:axId val="245423983"/>
        <c:axId val="245428303"/>
      </c:barChart>
      <c:scatterChart>
        <c:scatterStyle val="lineMarker"/>
        <c:varyColors val="0"/>
        <c:ser>
          <c:idx val="2"/>
          <c:order val="2"/>
          <c:tx>
            <c:strRef>
              <c:f>G2_Fig15!$D$1</c:f>
              <c:strCache>
                <c:ptCount val="1"/>
                <c:pt idx="0">
                  <c:v>Adolescent birth rate</c:v>
                </c:pt>
              </c:strCache>
            </c:strRef>
          </c:tx>
          <c:spPr>
            <a:ln w="25400" cap="rnd">
              <a:noFill/>
              <a:round/>
            </a:ln>
            <a:effectLst/>
          </c:spPr>
          <c:marker>
            <c:symbol val="circle"/>
            <c:size val="5"/>
            <c:spPr>
              <a:solidFill>
                <a:schemeClr val="accent3"/>
              </a:solidFill>
              <a:ln w="9525">
                <a:solidFill>
                  <a:schemeClr val="accent3"/>
                </a:solidFill>
              </a:ln>
              <a:effectLst/>
            </c:spPr>
          </c:marker>
          <c:xVal>
            <c:strRef>
              <c:f>G2_Fig15!$A$2:$A$18</c:f>
              <c:strCache>
                <c:ptCount val="17"/>
                <c:pt idx="0">
                  <c:v>Somalia</c:v>
                </c:pt>
                <c:pt idx="1">
                  <c:v>Mauritania</c:v>
                </c:pt>
                <c:pt idx="2">
                  <c:v>Sudan</c:v>
                </c:pt>
                <c:pt idx="3">
                  <c:v>Yemen</c:v>
                </c:pt>
                <c:pt idx="4">
                  <c:v>Iraq</c:v>
                </c:pt>
                <c:pt idx="5">
                  <c:v>Comoros</c:v>
                </c:pt>
                <c:pt idx="6">
                  <c:v>Egypt</c:v>
                </c:pt>
                <c:pt idx="7">
                  <c:v>Morocco</c:v>
                </c:pt>
                <c:pt idx="8">
                  <c:v>Palestine</c:v>
                </c:pt>
                <c:pt idx="9">
                  <c:v>Syria</c:v>
                </c:pt>
                <c:pt idx="10">
                  <c:v>Jordan</c:v>
                </c:pt>
                <c:pt idx="11">
                  <c:v>Djibouti</c:v>
                </c:pt>
                <c:pt idx="12">
                  <c:v>Lebanon</c:v>
                </c:pt>
                <c:pt idx="13">
                  <c:v>Qatar</c:v>
                </c:pt>
                <c:pt idx="14">
                  <c:v>Oman</c:v>
                </c:pt>
                <c:pt idx="15">
                  <c:v>Algeria</c:v>
                </c:pt>
                <c:pt idx="16">
                  <c:v>Tunisia</c:v>
                </c:pt>
              </c:strCache>
            </c:strRef>
          </c:xVal>
          <c:yVal>
            <c:numRef>
              <c:f>G2_Fig15!$D$2:$D$18</c:f>
              <c:numCache>
                <c:formatCode>0</c:formatCode>
                <c:ptCount val="17"/>
                <c:pt idx="0">
                  <c:v>115.65</c:v>
                </c:pt>
                <c:pt idx="1">
                  <c:v>89.64</c:v>
                </c:pt>
                <c:pt idx="2">
                  <c:v>86.82</c:v>
                </c:pt>
                <c:pt idx="3">
                  <c:v>77</c:v>
                </c:pt>
                <c:pt idx="4">
                  <c:v>69.989999999999995</c:v>
                </c:pt>
                <c:pt idx="5">
                  <c:v>74.36</c:v>
                </c:pt>
                <c:pt idx="6">
                  <c:v>50</c:v>
                </c:pt>
                <c:pt idx="7">
                  <c:v>21.66</c:v>
                </c:pt>
                <c:pt idx="8">
                  <c:v>42.84</c:v>
                </c:pt>
                <c:pt idx="9">
                  <c:v>54</c:v>
                </c:pt>
                <c:pt idx="10">
                  <c:v>17</c:v>
                </c:pt>
                <c:pt idx="11">
                  <c:v>20.98</c:v>
                </c:pt>
                <c:pt idx="12">
                  <c:v>16.670000000000002</c:v>
                </c:pt>
                <c:pt idx="13">
                  <c:v>4.7300000000000004</c:v>
                </c:pt>
                <c:pt idx="14">
                  <c:v>5.91</c:v>
                </c:pt>
                <c:pt idx="15">
                  <c:v>11</c:v>
                </c:pt>
                <c:pt idx="16">
                  <c:v>4.04</c:v>
                </c:pt>
              </c:numCache>
            </c:numRef>
          </c:yVal>
          <c:smooth val="0"/>
          <c:extLst>
            <c:ext xmlns:c16="http://schemas.microsoft.com/office/drawing/2014/chart" uri="{C3380CC4-5D6E-409C-BE32-E72D297353CC}">
              <c16:uniqueId val="{00000002-741D-4915-8D23-34FA3DC8A81E}"/>
            </c:ext>
          </c:extLst>
        </c:ser>
        <c:dLbls>
          <c:showLegendKey val="0"/>
          <c:showVal val="0"/>
          <c:showCatName val="0"/>
          <c:showSerName val="0"/>
          <c:showPercent val="0"/>
          <c:showBubbleSize val="0"/>
        </c:dLbls>
        <c:axId val="245426383"/>
        <c:axId val="245425423"/>
      </c:scatterChart>
      <c:catAx>
        <c:axId val="245423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5428303"/>
        <c:crosses val="autoZero"/>
        <c:auto val="1"/>
        <c:lblAlgn val="ctr"/>
        <c:lblOffset val="100"/>
        <c:noMultiLvlLbl val="0"/>
      </c:catAx>
      <c:valAx>
        <c:axId val="2454283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Child</a:t>
                </a:r>
                <a:r>
                  <a:rPr lang="en-US" baseline="0"/>
                  <a:t> </a:t>
                </a:r>
                <a:r>
                  <a:rPr lang="en-US"/>
                  <a:t>marriage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5423983"/>
        <c:crosses val="autoZero"/>
        <c:crossBetween val="between"/>
      </c:valAx>
      <c:valAx>
        <c:axId val="245425423"/>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Adolescent birth rate (per 1,000  women)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5426383"/>
        <c:crosses val="max"/>
        <c:crossBetween val="midCat"/>
      </c:valAx>
      <c:valAx>
        <c:axId val="245426383"/>
        <c:scaling>
          <c:orientation val="minMax"/>
        </c:scaling>
        <c:delete val="1"/>
        <c:axPos val="t"/>
        <c:majorTickMark val="out"/>
        <c:minorTickMark val="none"/>
        <c:tickLblPos val="nextTo"/>
        <c:crossAx val="245425423"/>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latin typeface="Aptos" panose="020B0004020202020204" pitchFamily="34" charset="0"/>
              </a:rPr>
              <a:t>Women’s share in public positions (%)</a:t>
            </a:r>
            <a:endParaRPr lang="en-US" sz="1000">
              <a:latin typeface="Aptos" panose="020B0004020202020204" pitchFamily="34" charset="0"/>
            </a:endParaRPr>
          </a:p>
        </c:rich>
      </c:tx>
      <c:layout>
        <c:manualLayout>
          <c:xMode val="edge"/>
          <c:yMode val="edge"/>
          <c:x val="0.32389020310729671"/>
          <c:y val="2.8171049287611518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638394812686662E-2"/>
          <c:y val="0.13701191325365425"/>
          <c:w val="0.92908294202088193"/>
          <c:h val="0.42548370836175714"/>
        </c:manualLayout>
      </c:layout>
      <c:barChart>
        <c:barDir val="col"/>
        <c:grouping val="clustered"/>
        <c:varyColors val="0"/>
        <c:ser>
          <c:idx val="0"/>
          <c:order val="0"/>
          <c:tx>
            <c:v>National Parliaments (%)</c:v>
          </c:tx>
          <c:spPr>
            <a:solidFill>
              <a:schemeClr val="accent1"/>
            </a:solidFill>
            <a:ln>
              <a:noFill/>
            </a:ln>
            <a:effectLst/>
          </c:spPr>
          <c:invertIfNegative val="0"/>
          <c:cat>
            <c:strRef>
              <c:f>'Section I_Fig2'!$A$2:$A$26</c:f>
              <c:strCache>
                <c:ptCount val="25"/>
                <c:pt idx="0">
                  <c:v>United Arab Emirates</c:v>
                </c:pt>
                <c:pt idx="1">
                  <c:v>Iraq</c:v>
                </c:pt>
                <c:pt idx="2">
                  <c:v>Egypt</c:v>
                </c:pt>
                <c:pt idx="3">
                  <c:v>Djibouti</c:v>
                </c:pt>
                <c:pt idx="4">
                  <c:v>Morocco</c:v>
                </c:pt>
                <c:pt idx="5">
                  <c:v>Mauritania</c:v>
                </c:pt>
                <c:pt idx="6">
                  <c:v>Bahrain</c:v>
                </c:pt>
                <c:pt idx="7">
                  <c:v>Saudi Arabia</c:v>
                </c:pt>
                <c:pt idx="8">
                  <c:v>Somalia</c:v>
                </c:pt>
                <c:pt idx="9">
                  <c:v>Comoros</c:v>
                </c:pt>
                <c:pt idx="10">
                  <c:v>Libya</c:v>
                </c:pt>
                <c:pt idx="11">
                  <c:v>Tunisia</c:v>
                </c:pt>
                <c:pt idx="12">
                  <c:v>Jordan</c:v>
                </c:pt>
                <c:pt idx="13">
                  <c:v>Syria</c:v>
                </c:pt>
                <c:pt idx="14">
                  <c:v>Algeria</c:v>
                </c:pt>
                <c:pt idx="15">
                  <c:v>Lebanon</c:v>
                </c:pt>
                <c:pt idx="16">
                  <c:v>Qatar</c:v>
                </c:pt>
                <c:pt idx="17">
                  <c:v>Kuwait</c:v>
                </c:pt>
                <c:pt idx="18">
                  <c:v>Oman</c:v>
                </c:pt>
                <c:pt idx="19">
                  <c:v>Sudan*</c:v>
                </c:pt>
                <c:pt idx="20">
                  <c:v>Palestine</c:v>
                </c:pt>
                <c:pt idx="21">
                  <c:v>Yemen</c:v>
                </c:pt>
                <c:pt idx="22">
                  <c:v>Arab average</c:v>
                </c:pt>
                <c:pt idx="23">
                  <c:v>OECD average</c:v>
                </c:pt>
                <c:pt idx="24">
                  <c:v>World average</c:v>
                </c:pt>
              </c:strCache>
            </c:strRef>
          </c:cat>
          <c:val>
            <c:numRef>
              <c:f>'Section I_Fig2'!$B$2:$B$26</c:f>
              <c:numCache>
                <c:formatCode>#,##0.0"%"</c:formatCode>
                <c:ptCount val="25"/>
                <c:pt idx="0">
                  <c:v>50</c:v>
                </c:pt>
                <c:pt idx="1">
                  <c:v>29.2</c:v>
                </c:pt>
                <c:pt idx="2">
                  <c:v>27.7</c:v>
                </c:pt>
                <c:pt idx="3">
                  <c:v>26.2</c:v>
                </c:pt>
                <c:pt idx="4">
                  <c:v>24.3</c:v>
                </c:pt>
                <c:pt idx="5">
                  <c:v>23.3</c:v>
                </c:pt>
                <c:pt idx="6">
                  <c:v>20</c:v>
                </c:pt>
                <c:pt idx="7">
                  <c:v>19.899999999999999</c:v>
                </c:pt>
                <c:pt idx="8">
                  <c:v>19.600000000000001</c:v>
                </c:pt>
                <c:pt idx="9">
                  <c:v>16.7</c:v>
                </c:pt>
                <c:pt idx="10">
                  <c:v>16.5</c:v>
                </c:pt>
                <c:pt idx="11">
                  <c:v>15.7</c:v>
                </c:pt>
                <c:pt idx="12">
                  <c:v>13.1</c:v>
                </c:pt>
                <c:pt idx="13">
                  <c:v>10.4</c:v>
                </c:pt>
                <c:pt idx="14">
                  <c:v>7.9</c:v>
                </c:pt>
                <c:pt idx="15">
                  <c:v>6.3</c:v>
                </c:pt>
                <c:pt idx="16">
                  <c:v>4.4000000000000004</c:v>
                </c:pt>
                <c:pt idx="17">
                  <c:v>3.1</c:v>
                </c:pt>
                <c:pt idx="18">
                  <c:v>0</c:v>
                </c:pt>
                <c:pt idx="19">
                  <c:v>0</c:v>
                </c:pt>
                <c:pt idx="22">
                  <c:v>17.728237791932099</c:v>
                </c:pt>
                <c:pt idx="23">
                  <c:v>33.846153846153847</c:v>
                </c:pt>
                <c:pt idx="24">
                  <c:v>26.9</c:v>
                </c:pt>
              </c:numCache>
            </c:numRef>
          </c:val>
          <c:extLst>
            <c:ext xmlns:c16="http://schemas.microsoft.com/office/drawing/2014/chart" uri="{C3380CC4-5D6E-409C-BE32-E72D297353CC}">
              <c16:uniqueId val="{00000000-635C-430A-956B-977399234776}"/>
            </c:ext>
          </c:extLst>
        </c:ser>
        <c:ser>
          <c:idx val="2"/>
          <c:order val="1"/>
          <c:tx>
            <c:v>Ministrial Positions (%)</c:v>
          </c:tx>
          <c:spPr>
            <a:solidFill>
              <a:schemeClr val="accent3"/>
            </a:solidFill>
            <a:ln>
              <a:noFill/>
            </a:ln>
            <a:effectLst/>
          </c:spPr>
          <c:invertIfNegative val="0"/>
          <c:cat>
            <c:strRef>
              <c:f>'Section I_Fig2'!$A$2:$A$26</c:f>
              <c:strCache>
                <c:ptCount val="25"/>
                <c:pt idx="0">
                  <c:v>United Arab Emirates</c:v>
                </c:pt>
                <c:pt idx="1">
                  <c:v>Iraq</c:v>
                </c:pt>
                <c:pt idx="2">
                  <c:v>Egypt</c:v>
                </c:pt>
                <c:pt idx="3">
                  <c:v>Djibouti</c:v>
                </c:pt>
                <c:pt idx="4">
                  <c:v>Morocco</c:v>
                </c:pt>
                <c:pt idx="5">
                  <c:v>Mauritania</c:v>
                </c:pt>
                <c:pt idx="6">
                  <c:v>Bahrain</c:v>
                </c:pt>
                <c:pt idx="7">
                  <c:v>Saudi Arabia</c:v>
                </c:pt>
                <c:pt idx="8">
                  <c:v>Somalia</c:v>
                </c:pt>
                <c:pt idx="9">
                  <c:v>Comoros</c:v>
                </c:pt>
                <c:pt idx="10">
                  <c:v>Libya</c:v>
                </c:pt>
                <c:pt idx="11">
                  <c:v>Tunisia</c:v>
                </c:pt>
                <c:pt idx="12">
                  <c:v>Jordan</c:v>
                </c:pt>
                <c:pt idx="13">
                  <c:v>Syria</c:v>
                </c:pt>
                <c:pt idx="14">
                  <c:v>Algeria</c:v>
                </c:pt>
                <c:pt idx="15">
                  <c:v>Lebanon</c:v>
                </c:pt>
                <c:pt idx="16">
                  <c:v>Qatar</c:v>
                </c:pt>
                <c:pt idx="17">
                  <c:v>Kuwait</c:v>
                </c:pt>
                <c:pt idx="18">
                  <c:v>Oman</c:v>
                </c:pt>
                <c:pt idx="19">
                  <c:v>Sudan*</c:v>
                </c:pt>
                <c:pt idx="20">
                  <c:v>Palestine</c:v>
                </c:pt>
                <c:pt idx="21">
                  <c:v>Yemen</c:v>
                </c:pt>
                <c:pt idx="22">
                  <c:v>Arab average</c:v>
                </c:pt>
                <c:pt idx="23">
                  <c:v>OECD average</c:v>
                </c:pt>
                <c:pt idx="24">
                  <c:v>World average</c:v>
                </c:pt>
              </c:strCache>
            </c:strRef>
          </c:cat>
          <c:val>
            <c:numRef>
              <c:f>'Section I_Fig2'!$D$2:$D$26</c:f>
              <c:numCache>
                <c:formatCode>#,##0.0"%"</c:formatCode>
                <c:ptCount val="25"/>
                <c:pt idx="0">
                  <c:v>11.1</c:v>
                </c:pt>
                <c:pt idx="1">
                  <c:v>13</c:v>
                </c:pt>
                <c:pt idx="2">
                  <c:v>18.8</c:v>
                </c:pt>
                <c:pt idx="3">
                  <c:v>21.5</c:v>
                </c:pt>
                <c:pt idx="4">
                  <c:v>26.3</c:v>
                </c:pt>
                <c:pt idx="5">
                  <c:v>18.2</c:v>
                </c:pt>
                <c:pt idx="6">
                  <c:v>21.7</c:v>
                </c:pt>
                <c:pt idx="7">
                  <c:v>0</c:v>
                </c:pt>
                <c:pt idx="8">
                  <c:v>12</c:v>
                </c:pt>
                <c:pt idx="9">
                  <c:v>7.7</c:v>
                </c:pt>
                <c:pt idx="10">
                  <c:v>15.4</c:v>
                </c:pt>
                <c:pt idx="11">
                  <c:v>36.4</c:v>
                </c:pt>
                <c:pt idx="12">
                  <c:v>22.2</c:v>
                </c:pt>
                <c:pt idx="13">
                  <c:v>12</c:v>
                </c:pt>
                <c:pt idx="14">
                  <c:v>14.3</c:v>
                </c:pt>
                <c:pt idx="15">
                  <c:v>4.5</c:v>
                </c:pt>
                <c:pt idx="16">
                  <c:v>15.8</c:v>
                </c:pt>
                <c:pt idx="17">
                  <c:v>7.1</c:v>
                </c:pt>
                <c:pt idx="18">
                  <c:v>15</c:v>
                </c:pt>
                <c:pt idx="22">
                  <c:v>16.277777777777779</c:v>
                </c:pt>
                <c:pt idx="23">
                  <c:v>33.515384615384619</c:v>
                </c:pt>
                <c:pt idx="24">
                  <c:v>23.3</c:v>
                </c:pt>
              </c:numCache>
            </c:numRef>
          </c:val>
          <c:extLst>
            <c:ext xmlns:c16="http://schemas.microsoft.com/office/drawing/2014/chart" uri="{C3380CC4-5D6E-409C-BE32-E72D297353CC}">
              <c16:uniqueId val="{00000001-635C-430A-956B-977399234776}"/>
            </c:ext>
          </c:extLst>
        </c:ser>
        <c:dLbls>
          <c:showLegendKey val="0"/>
          <c:showVal val="0"/>
          <c:showCatName val="0"/>
          <c:showSerName val="0"/>
          <c:showPercent val="0"/>
          <c:showBubbleSize val="0"/>
        </c:dLbls>
        <c:gapWidth val="219"/>
        <c:axId val="74584159"/>
        <c:axId val="74584639"/>
      </c:barChart>
      <c:scatterChart>
        <c:scatterStyle val="lineMarker"/>
        <c:varyColors val="0"/>
        <c:ser>
          <c:idx val="1"/>
          <c:order val="2"/>
          <c:tx>
            <c:v>Local Governments (%)</c:v>
          </c:tx>
          <c:spPr>
            <a:ln w="25400" cap="rnd">
              <a:noFill/>
              <a:round/>
            </a:ln>
            <a:effectLst/>
          </c:spPr>
          <c:marker>
            <c:symbol val="circle"/>
            <c:size val="5"/>
            <c:spPr>
              <a:solidFill>
                <a:schemeClr val="accent2"/>
              </a:solidFill>
              <a:ln w="9525">
                <a:solidFill>
                  <a:schemeClr val="accent2"/>
                </a:solidFill>
              </a:ln>
              <a:effectLst/>
            </c:spPr>
          </c:marker>
          <c:xVal>
            <c:strRef>
              <c:f>'Section I_Fig2'!$A$2:$A$26</c:f>
              <c:strCache>
                <c:ptCount val="25"/>
                <c:pt idx="0">
                  <c:v>United Arab Emirates</c:v>
                </c:pt>
                <c:pt idx="1">
                  <c:v>Iraq</c:v>
                </c:pt>
                <c:pt idx="2">
                  <c:v>Egypt</c:v>
                </c:pt>
                <c:pt idx="3">
                  <c:v>Djibouti</c:v>
                </c:pt>
                <c:pt idx="4">
                  <c:v>Morocco</c:v>
                </c:pt>
                <c:pt idx="5">
                  <c:v>Mauritania</c:v>
                </c:pt>
                <c:pt idx="6">
                  <c:v>Bahrain</c:v>
                </c:pt>
                <c:pt idx="7">
                  <c:v>Saudi Arabia</c:v>
                </c:pt>
                <c:pt idx="8">
                  <c:v>Somalia</c:v>
                </c:pt>
                <c:pt idx="9">
                  <c:v>Comoros</c:v>
                </c:pt>
                <c:pt idx="10">
                  <c:v>Libya</c:v>
                </c:pt>
                <c:pt idx="11">
                  <c:v>Tunisia</c:v>
                </c:pt>
                <c:pt idx="12">
                  <c:v>Jordan</c:v>
                </c:pt>
                <c:pt idx="13">
                  <c:v>Syria</c:v>
                </c:pt>
                <c:pt idx="14">
                  <c:v>Algeria</c:v>
                </c:pt>
                <c:pt idx="15">
                  <c:v>Lebanon</c:v>
                </c:pt>
                <c:pt idx="16">
                  <c:v>Qatar</c:v>
                </c:pt>
                <c:pt idx="17">
                  <c:v>Kuwait</c:v>
                </c:pt>
                <c:pt idx="18">
                  <c:v>Oman</c:v>
                </c:pt>
                <c:pt idx="19">
                  <c:v>Sudan*</c:v>
                </c:pt>
                <c:pt idx="20">
                  <c:v>Palestine</c:v>
                </c:pt>
                <c:pt idx="21">
                  <c:v>Yemen</c:v>
                </c:pt>
                <c:pt idx="22">
                  <c:v>Arab average</c:v>
                </c:pt>
                <c:pt idx="23">
                  <c:v>OECD average</c:v>
                </c:pt>
                <c:pt idx="24">
                  <c:v>World average</c:v>
                </c:pt>
              </c:strCache>
            </c:strRef>
          </c:xVal>
          <c:yVal>
            <c:numRef>
              <c:f>'Section I_Fig2'!$C$2:$C$26</c:f>
              <c:numCache>
                <c:formatCode>#,##0.0"%"</c:formatCode>
                <c:ptCount val="25"/>
                <c:pt idx="1">
                  <c:v>25.7</c:v>
                </c:pt>
                <c:pt idx="3">
                  <c:v>28.86598</c:v>
                </c:pt>
                <c:pt idx="4">
                  <c:v>27.231159999999999</c:v>
                </c:pt>
                <c:pt idx="5">
                  <c:v>31.372070000000001</c:v>
                </c:pt>
                <c:pt idx="6">
                  <c:v>10</c:v>
                </c:pt>
                <c:pt idx="7">
                  <c:v>1.2040599999999999</c:v>
                </c:pt>
                <c:pt idx="9">
                  <c:v>33.301439999999999</c:v>
                </c:pt>
                <c:pt idx="10">
                  <c:v>14.28571</c:v>
                </c:pt>
                <c:pt idx="11">
                  <c:v>48.488630000000001</c:v>
                </c:pt>
                <c:pt idx="12">
                  <c:v>24.943819999999999</c:v>
                </c:pt>
                <c:pt idx="13">
                  <c:v>7.0937400000000004</c:v>
                </c:pt>
                <c:pt idx="14">
                  <c:v>17.589289999999998</c:v>
                </c:pt>
                <c:pt idx="15">
                  <c:v>3.97153</c:v>
                </c:pt>
                <c:pt idx="18">
                  <c:v>0.79364999999999997</c:v>
                </c:pt>
                <c:pt idx="19">
                  <c:v>7.7</c:v>
                </c:pt>
                <c:pt idx="20">
                  <c:v>21.037109999999998</c:v>
                </c:pt>
                <c:pt idx="21">
                  <c:v>0.51849000000000001</c:v>
                </c:pt>
                <c:pt idx="22">
                  <c:v>19.5</c:v>
                </c:pt>
                <c:pt idx="23">
                  <c:v>33.074937999999996</c:v>
                </c:pt>
                <c:pt idx="24">
                  <c:v>35.5</c:v>
                </c:pt>
              </c:numCache>
            </c:numRef>
          </c:yVal>
          <c:smooth val="0"/>
          <c:extLst>
            <c:ext xmlns:c16="http://schemas.microsoft.com/office/drawing/2014/chart" uri="{C3380CC4-5D6E-409C-BE32-E72D297353CC}">
              <c16:uniqueId val="{00000002-635C-430A-956B-977399234776}"/>
            </c:ext>
          </c:extLst>
        </c:ser>
        <c:dLbls>
          <c:showLegendKey val="0"/>
          <c:showVal val="0"/>
          <c:showCatName val="0"/>
          <c:showSerName val="0"/>
          <c:showPercent val="0"/>
          <c:showBubbleSize val="0"/>
        </c:dLbls>
        <c:axId val="189802207"/>
        <c:axId val="189820447"/>
      </c:scatterChart>
      <c:catAx>
        <c:axId val="74584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84639"/>
        <c:crosses val="autoZero"/>
        <c:auto val="1"/>
        <c:lblAlgn val="ctr"/>
        <c:lblOffset val="100"/>
        <c:noMultiLvlLbl val="0"/>
      </c:catAx>
      <c:valAx>
        <c:axId val="74584639"/>
        <c:scaling>
          <c:orientation val="minMax"/>
        </c:scaling>
        <c:delete val="0"/>
        <c:axPos val="l"/>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84159"/>
        <c:crosses val="autoZero"/>
        <c:crossBetween val="between"/>
        <c:majorUnit val="20"/>
      </c:valAx>
      <c:valAx>
        <c:axId val="189820447"/>
        <c:scaling>
          <c:orientation val="minMax"/>
        </c:scaling>
        <c:delete val="1"/>
        <c:axPos val="r"/>
        <c:numFmt formatCode="#,##0.0&quot;%&quot;" sourceLinked="1"/>
        <c:majorTickMark val="out"/>
        <c:minorTickMark val="none"/>
        <c:tickLblPos val="nextTo"/>
        <c:crossAx val="189802207"/>
        <c:crosses val="max"/>
        <c:crossBetween val="midCat"/>
      </c:valAx>
      <c:valAx>
        <c:axId val="189802207"/>
        <c:scaling>
          <c:orientation val="minMax"/>
        </c:scaling>
        <c:delete val="1"/>
        <c:axPos val="b"/>
        <c:numFmt formatCode="General" sourceLinked="1"/>
        <c:majorTickMark val="out"/>
        <c:minorTickMark val="none"/>
        <c:tickLblPos val="nextTo"/>
        <c:crossAx val="18982044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US" sz="1050" b="0" i="0" u="none" strike="noStrike" baseline="0">
                <a:effectLst/>
              </a:rPr>
              <a:t>Children out of school in lower secondary school by sex, wealth and location, 2019 (%)</a:t>
            </a:r>
            <a:endParaRPr lang="en-US" sz="1050"/>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G4_Fig16!$A$3</c:f>
              <c:strCache>
                <c:ptCount val="1"/>
                <c:pt idx="0">
                  <c:v>Poorest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G4_Fig16!$B$1:$E$2</c:f>
              <c:multiLvlStrCache>
                <c:ptCount val="4"/>
                <c:lvl>
                  <c:pt idx="0">
                    <c:v>Female</c:v>
                  </c:pt>
                  <c:pt idx="1">
                    <c:v>Male</c:v>
                  </c:pt>
                  <c:pt idx="2">
                    <c:v>Female</c:v>
                  </c:pt>
                  <c:pt idx="3">
                    <c:v>Male</c:v>
                  </c:pt>
                </c:lvl>
                <c:lvl>
                  <c:pt idx="0">
                    <c:v>Rural</c:v>
                  </c:pt>
                  <c:pt idx="2">
                    <c:v>Urban</c:v>
                  </c:pt>
                </c:lvl>
              </c:multiLvlStrCache>
            </c:multiLvlStrRef>
          </c:cat>
          <c:val>
            <c:numRef>
              <c:f>G4_Fig16!$B$3:$E$3</c:f>
              <c:numCache>
                <c:formatCode>0%</c:formatCode>
                <c:ptCount val="4"/>
                <c:pt idx="0">
                  <c:v>0.29707125000000001</c:v>
                </c:pt>
                <c:pt idx="1">
                  <c:v>0.20654343571428599</c:v>
                </c:pt>
                <c:pt idx="2">
                  <c:v>0.1253628</c:v>
                </c:pt>
                <c:pt idx="3">
                  <c:v>0.102063142857143</c:v>
                </c:pt>
              </c:numCache>
            </c:numRef>
          </c:val>
          <c:extLst>
            <c:ext xmlns:c16="http://schemas.microsoft.com/office/drawing/2014/chart" uri="{C3380CC4-5D6E-409C-BE32-E72D297353CC}">
              <c16:uniqueId val="{00000000-7F56-452A-9402-ADB4C2E80B49}"/>
            </c:ext>
          </c:extLst>
        </c:ser>
        <c:ser>
          <c:idx val="1"/>
          <c:order val="1"/>
          <c:tx>
            <c:strRef>
              <c:f>G4_Fig16!$A$4</c:f>
              <c:strCache>
                <c:ptCount val="1"/>
                <c:pt idx="0">
                  <c:v>Richest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G4_Fig16!$B$1:$E$2</c:f>
              <c:multiLvlStrCache>
                <c:ptCount val="4"/>
                <c:lvl>
                  <c:pt idx="0">
                    <c:v>Female</c:v>
                  </c:pt>
                  <c:pt idx="1">
                    <c:v>Male</c:v>
                  </c:pt>
                  <c:pt idx="2">
                    <c:v>Female</c:v>
                  </c:pt>
                  <c:pt idx="3">
                    <c:v>Male</c:v>
                  </c:pt>
                </c:lvl>
                <c:lvl>
                  <c:pt idx="0">
                    <c:v>Rural</c:v>
                  </c:pt>
                  <c:pt idx="2">
                    <c:v>Urban</c:v>
                  </c:pt>
                </c:lvl>
              </c:multiLvlStrCache>
            </c:multiLvlStrRef>
          </c:cat>
          <c:val>
            <c:numRef>
              <c:f>G4_Fig16!$B$4:$E$4</c:f>
              <c:numCache>
                <c:formatCode>0%</c:formatCode>
                <c:ptCount val="4"/>
                <c:pt idx="0">
                  <c:v>5.9606307142857098E-2</c:v>
                </c:pt>
                <c:pt idx="1">
                  <c:v>2.4941514285714301E-2</c:v>
                </c:pt>
                <c:pt idx="2">
                  <c:v>4.5912678571428597E-2</c:v>
                </c:pt>
                <c:pt idx="3">
                  <c:v>4.8506907142857103E-2</c:v>
                </c:pt>
              </c:numCache>
            </c:numRef>
          </c:val>
          <c:extLst>
            <c:ext xmlns:c16="http://schemas.microsoft.com/office/drawing/2014/chart" uri="{C3380CC4-5D6E-409C-BE32-E72D297353CC}">
              <c16:uniqueId val="{00000001-7F56-452A-9402-ADB4C2E80B49}"/>
            </c:ext>
          </c:extLst>
        </c:ser>
        <c:dLbls>
          <c:dLblPos val="outEnd"/>
          <c:showLegendKey val="0"/>
          <c:showVal val="1"/>
          <c:showCatName val="0"/>
          <c:showSerName val="0"/>
          <c:showPercent val="0"/>
          <c:showBubbleSize val="0"/>
        </c:dLbls>
        <c:gapWidth val="219"/>
        <c:overlap val="-27"/>
        <c:axId val="1721289055"/>
        <c:axId val="1721290495"/>
      </c:barChart>
      <c:catAx>
        <c:axId val="172128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1290495"/>
        <c:crosses val="autoZero"/>
        <c:auto val="1"/>
        <c:lblAlgn val="ctr"/>
        <c:lblOffset val="100"/>
        <c:noMultiLvlLbl val="0"/>
      </c:catAx>
      <c:valAx>
        <c:axId val="1721290495"/>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1289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G4_Fig17!$B$1</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G4_Fig17!$A$2:$A$6</c:f>
              <c:strCache>
                <c:ptCount val="5"/>
                <c:pt idx="0">
                  <c:v>World</c:v>
                </c:pt>
                <c:pt idx="1">
                  <c:v>Arab Maghreb</c:v>
                </c:pt>
                <c:pt idx="2">
                  <c:v>Arab GCC</c:v>
                </c:pt>
                <c:pt idx="3">
                  <c:v>Arab Region</c:v>
                </c:pt>
                <c:pt idx="4">
                  <c:v>Arab Mashreq</c:v>
                </c:pt>
              </c:strCache>
            </c:strRef>
          </c:cat>
          <c:val>
            <c:numRef>
              <c:f>G4_Fig17!$B$2:$B$6</c:f>
              <c:numCache>
                <c:formatCode>0%</c:formatCode>
                <c:ptCount val="5"/>
                <c:pt idx="0">
                  <c:v>0.75133979797363204</c:v>
                </c:pt>
                <c:pt idx="1">
                  <c:v>0.69623268127441396</c:v>
                </c:pt>
                <c:pt idx="2">
                  <c:v>0.63607269287109303</c:v>
                </c:pt>
                <c:pt idx="3">
                  <c:v>0.42895748138427697</c:v>
                </c:pt>
                <c:pt idx="4">
                  <c:v>0.33421489715576103</c:v>
                </c:pt>
              </c:numCache>
            </c:numRef>
          </c:val>
          <c:extLst>
            <c:ext xmlns:c16="http://schemas.microsoft.com/office/drawing/2014/chart" uri="{C3380CC4-5D6E-409C-BE32-E72D297353CC}">
              <c16:uniqueId val="{00000000-AE72-4AC5-A7B3-F8FFB8E0ADA8}"/>
            </c:ext>
          </c:extLst>
        </c:ser>
        <c:ser>
          <c:idx val="1"/>
          <c:order val="1"/>
          <c:tx>
            <c:strRef>
              <c:f>G4_Fig17!$C$1</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G4_Fig17!$A$2:$A$6</c:f>
              <c:strCache>
                <c:ptCount val="5"/>
                <c:pt idx="0">
                  <c:v>World</c:v>
                </c:pt>
                <c:pt idx="1">
                  <c:v>Arab Maghreb</c:v>
                </c:pt>
                <c:pt idx="2">
                  <c:v>Arab GCC</c:v>
                </c:pt>
                <c:pt idx="3">
                  <c:v>Arab Region</c:v>
                </c:pt>
                <c:pt idx="4">
                  <c:v>Arab Mashreq</c:v>
                </c:pt>
              </c:strCache>
            </c:strRef>
          </c:cat>
          <c:val>
            <c:numRef>
              <c:f>G4_Fig17!$C$2:$C$6</c:f>
              <c:numCache>
                <c:formatCode>0%</c:formatCode>
                <c:ptCount val="5"/>
                <c:pt idx="0">
                  <c:v>0.75358520507812499</c:v>
                </c:pt>
                <c:pt idx="1">
                  <c:v>0.67874717712402299</c:v>
                </c:pt>
                <c:pt idx="2">
                  <c:v>0.61499198913574205</c:v>
                </c:pt>
                <c:pt idx="3">
                  <c:v>0.42591239929199198</c:v>
                </c:pt>
                <c:pt idx="4">
                  <c:v>0.33809051513671801</c:v>
                </c:pt>
              </c:numCache>
            </c:numRef>
          </c:val>
          <c:extLst>
            <c:ext xmlns:c16="http://schemas.microsoft.com/office/drawing/2014/chart" uri="{C3380CC4-5D6E-409C-BE32-E72D297353CC}">
              <c16:uniqueId val="{00000001-AE72-4AC5-A7B3-F8FFB8E0ADA8}"/>
            </c:ext>
          </c:extLst>
        </c:ser>
        <c:dLbls>
          <c:dLblPos val="outEnd"/>
          <c:showLegendKey val="0"/>
          <c:showVal val="1"/>
          <c:showCatName val="0"/>
          <c:showSerName val="0"/>
          <c:showPercent val="0"/>
          <c:showBubbleSize val="0"/>
        </c:dLbls>
        <c:gapWidth val="182"/>
        <c:axId val="581960800"/>
        <c:axId val="581975680"/>
        <c:extLst>
          <c:ext xmlns:c15="http://schemas.microsoft.com/office/drawing/2012/chart" uri="{02D57815-91ED-43cb-92C2-25804820EDAC}">
            <c15:filteredBarSeries>
              <c15:ser>
                <c:idx val="2"/>
                <c:order val="2"/>
                <c:tx>
                  <c:strRef>
                    <c:extLst>
                      <c:ext uri="{02D57815-91ED-43cb-92C2-25804820EDAC}">
                        <c15:formulaRef>
                          <c15:sqref>G4_Fig20!#REF!</c15:sqref>
                        </c15:formulaRef>
                      </c:ext>
                    </c:extLst>
                    <c:strCache>
                      <c:ptCount val="1"/>
                      <c:pt idx="0">
                        <c:v>#REF!</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G4_Fig17!$A$2:$A$6</c15:sqref>
                        </c15:formulaRef>
                      </c:ext>
                    </c:extLst>
                    <c:strCache>
                      <c:ptCount val="5"/>
                      <c:pt idx="0">
                        <c:v>World</c:v>
                      </c:pt>
                      <c:pt idx="1">
                        <c:v>Arab Maghreb</c:v>
                      </c:pt>
                      <c:pt idx="2">
                        <c:v>Arab GCC</c:v>
                      </c:pt>
                      <c:pt idx="3">
                        <c:v>Arab Region</c:v>
                      </c:pt>
                      <c:pt idx="4">
                        <c:v>Arab Mashreq</c:v>
                      </c:pt>
                    </c:strCache>
                  </c:strRef>
                </c:cat>
                <c:val>
                  <c:numRef>
                    <c:extLst>
                      <c:ext uri="{02D57815-91ED-43cb-92C2-25804820EDAC}">
                        <c15:formulaRef>
                          <c15:sqref>G4_Fig20!#REF!</c15:sqref>
                        </c15:formulaRef>
                      </c:ext>
                    </c:extLst>
                    <c:numCache>
                      <c:formatCode>General</c:formatCode>
                      <c:ptCount val="1"/>
                      <c:pt idx="0">
                        <c:v>1</c:v>
                      </c:pt>
                    </c:numCache>
                  </c:numRef>
                </c:val>
                <c:extLst>
                  <c:ext xmlns:c16="http://schemas.microsoft.com/office/drawing/2014/chart" uri="{C3380CC4-5D6E-409C-BE32-E72D297353CC}">
                    <c16:uniqueId val="{00000002-AE72-4AC5-A7B3-F8FFB8E0ADA8}"/>
                  </c:ext>
                </c:extLst>
              </c15:ser>
            </c15:filteredBarSeries>
          </c:ext>
        </c:extLst>
      </c:barChart>
      <c:catAx>
        <c:axId val="581960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975680"/>
        <c:crosses val="autoZero"/>
        <c:auto val="1"/>
        <c:lblAlgn val="ctr"/>
        <c:lblOffset val="100"/>
        <c:noMultiLvlLbl val="0"/>
      </c:catAx>
      <c:valAx>
        <c:axId val="581975680"/>
        <c:scaling>
          <c:orientation val="minMax"/>
        </c:scaling>
        <c:delete val="1"/>
        <c:axPos val="t"/>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baseline="0">
                    <a:effectLst/>
                  </a:rPr>
                  <a:t>Participation rate in organized learning, pre-primary school (%)</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crossAx val="581960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t>Arab Countries</a:t>
            </a:r>
            <a:r>
              <a:rPr lang="en-US" sz="1200" b="1" baseline="0"/>
              <a:t>' coverage on SDG 5.1.1 by reporting year</a:t>
            </a:r>
            <a:endParaRPr lang="en-US" sz="12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'[2]SDG 5.1.1'!$C$1</c:f>
              <c:strCache>
                <c:ptCount val="1"/>
                <c:pt idx="0">
                  <c:v>percent</c:v>
                </c:pt>
              </c:strCache>
            </c:strRef>
          </c:tx>
          <c:spPr>
            <a:solidFill>
              <a:srgbClr val="EF402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'[2]SDG 5.1.1'!$A$2:$A$4</c:f>
              <c:numCache>
                <c:formatCode>General</c:formatCode>
                <c:ptCount val="3"/>
                <c:pt idx="0">
                  <c:v>2018</c:v>
                </c:pt>
                <c:pt idx="1">
                  <c:v>2020</c:v>
                </c:pt>
                <c:pt idx="2">
                  <c:v>2022</c:v>
                </c:pt>
              </c:numCache>
            </c:numRef>
          </c:cat>
          <c:val>
            <c:numRef>
              <c:f>'[2]SDG 5.1.1'!$C$2:$C$4</c:f>
              <c:numCache>
                <c:formatCode>General</c:formatCode>
                <c:ptCount val="3"/>
                <c:pt idx="0">
                  <c:v>22.7</c:v>
                </c:pt>
                <c:pt idx="1">
                  <c:v>27.3</c:v>
                </c:pt>
                <c:pt idx="2">
                  <c:v>36.4</c:v>
                </c:pt>
              </c:numCache>
            </c:numRef>
          </c:val>
          <c:extLst>
            <c:ext xmlns:c16="http://schemas.microsoft.com/office/drawing/2014/chart" uri="{C3380CC4-5D6E-409C-BE32-E72D297353CC}">
              <c16:uniqueId val="{00000000-CCC2-4E33-87E9-74A9741FC272}"/>
            </c:ext>
          </c:extLst>
        </c:ser>
        <c:dLbls>
          <c:showLegendKey val="0"/>
          <c:showVal val="1"/>
          <c:showCatName val="0"/>
          <c:showSerName val="0"/>
          <c:showPercent val="0"/>
          <c:showBubbleSize val="0"/>
        </c:dLbls>
        <c:gapWidth val="219"/>
        <c:overlap val="100"/>
        <c:axId val="1347331167"/>
        <c:axId val="1347332607"/>
      </c:barChart>
      <c:barChart>
        <c:barDir val="col"/>
        <c:grouping val="clustered"/>
        <c:varyColors val="0"/>
        <c:ser>
          <c:idx val="0"/>
          <c:order val="0"/>
          <c:tx>
            <c:strRef>
              <c:f>'[2]SDG 5.1.1'!$B$1</c:f>
              <c:strCache>
                <c:ptCount val="1"/>
                <c:pt idx="0">
                  <c:v>count of countries</c:v>
                </c:pt>
              </c:strCache>
            </c:strRef>
          </c:tx>
          <c:spPr>
            <a:solidFill>
              <a:srgbClr val="EF402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'[2]SDG 5.1.1'!$A$2:$A$4</c:f>
              <c:numCache>
                <c:formatCode>General</c:formatCode>
                <c:ptCount val="3"/>
                <c:pt idx="0">
                  <c:v>2018</c:v>
                </c:pt>
                <c:pt idx="1">
                  <c:v>2020</c:v>
                </c:pt>
                <c:pt idx="2">
                  <c:v>2022</c:v>
                </c:pt>
              </c:numCache>
            </c:numRef>
          </c:cat>
          <c:val>
            <c:numRef>
              <c:f>'[2]SDG 5.1.1'!$B$2:$B$4</c:f>
              <c:numCache>
                <c:formatCode>General</c:formatCode>
                <c:ptCount val="3"/>
                <c:pt idx="0">
                  <c:v>5</c:v>
                </c:pt>
                <c:pt idx="1">
                  <c:v>6</c:v>
                </c:pt>
                <c:pt idx="2">
                  <c:v>8</c:v>
                </c:pt>
              </c:numCache>
            </c:numRef>
          </c:val>
          <c:extLst>
            <c:ext xmlns:c16="http://schemas.microsoft.com/office/drawing/2014/chart" uri="{C3380CC4-5D6E-409C-BE32-E72D297353CC}">
              <c16:uniqueId val="{00000001-CCC2-4E33-87E9-74A9741FC272}"/>
            </c:ext>
          </c:extLst>
        </c:ser>
        <c:dLbls>
          <c:showLegendKey val="0"/>
          <c:showVal val="1"/>
          <c:showCatName val="0"/>
          <c:showSerName val="0"/>
          <c:showPercent val="0"/>
          <c:showBubbleSize val="0"/>
        </c:dLbls>
        <c:gapWidth val="219"/>
        <c:overlap val="-27"/>
        <c:axId val="1781334960"/>
        <c:axId val="1342474271"/>
      </c:barChart>
      <c:catAx>
        <c:axId val="1347331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7332607"/>
        <c:crosses val="autoZero"/>
        <c:auto val="1"/>
        <c:lblAlgn val="ctr"/>
        <c:lblOffset val="100"/>
        <c:noMultiLvlLbl val="0"/>
      </c:catAx>
      <c:valAx>
        <c:axId val="1347332607"/>
        <c:scaling>
          <c:orientation val="minMax"/>
          <c:max val="40"/>
          <c:min val="0"/>
        </c:scaling>
        <c:delete val="0"/>
        <c:axPos val="l"/>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7331167"/>
        <c:crosses val="autoZero"/>
        <c:crossBetween val="between"/>
        <c:majorUnit val="10"/>
      </c:valAx>
      <c:valAx>
        <c:axId val="1342474271"/>
        <c:scaling>
          <c:orientation val="minMax"/>
        </c:scaling>
        <c:delete val="1"/>
        <c:axPos val="r"/>
        <c:numFmt formatCode="General" sourceLinked="1"/>
        <c:majorTickMark val="out"/>
        <c:minorTickMark val="none"/>
        <c:tickLblPos val="nextTo"/>
        <c:crossAx val="1781334960"/>
        <c:crosses val="max"/>
        <c:crossBetween val="between"/>
      </c:valAx>
      <c:catAx>
        <c:axId val="1781334960"/>
        <c:scaling>
          <c:orientation val="minMax"/>
        </c:scaling>
        <c:delete val="1"/>
        <c:axPos val="b"/>
        <c:numFmt formatCode="General" sourceLinked="1"/>
        <c:majorTickMark val="out"/>
        <c:minorTickMark val="none"/>
        <c:tickLblPos val="nextTo"/>
        <c:crossAx val="1342474271"/>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79238336250707"/>
          <c:y val="4.2826552462526764E-2"/>
          <c:w val="0.7807704989207489"/>
          <c:h val="0.52109439627439558"/>
        </c:manualLayout>
      </c:layout>
      <c:barChart>
        <c:barDir val="col"/>
        <c:grouping val="clustered"/>
        <c:varyColors val="0"/>
        <c:ser>
          <c:idx val="0"/>
          <c:order val="0"/>
          <c:tx>
            <c:strRef>
              <c:f>G5_Fig18!$B$1</c:f>
              <c:strCache>
                <c:ptCount val="1"/>
                <c:pt idx="0">
                  <c:v>Seats held by women in national parliaments (%)</c:v>
                </c:pt>
              </c:strCache>
            </c:strRef>
          </c:tx>
          <c:spPr>
            <a:solidFill>
              <a:schemeClr val="accent1"/>
            </a:solidFill>
            <a:ln>
              <a:noFill/>
            </a:ln>
            <a:effectLst/>
          </c:spPr>
          <c:invertIfNegative val="0"/>
          <c:cat>
            <c:strRef>
              <c:f>G5_Fig18!$A$2:$A$23</c:f>
              <c:strCache>
                <c:ptCount val="22"/>
                <c:pt idx="0">
                  <c:v>United Arab Emirates</c:v>
                </c:pt>
                <c:pt idx="1">
                  <c:v>Iraq</c:v>
                </c:pt>
                <c:pt idx="2">
                  <c:v>Egypt</c:v>
                </c:pt>
                <c:pt idx="3">
                  <c:v>Djibouti</c:v>
                </c:pt>
                <c:pt idx="4">
                  <c:v>Morocco</c:v>
                </c:pt>
                <c:pt idx="5">
                  <c:v>Mauritania</c:v>
                </c:pt>
                <c:pt idx="6">
                  <c:v>Bahrain</c:v>
                </c:pt>
                <c:pt idx="7">
                  <c:v>Saudi Arabia</c:v>
                </c:pt>
                <c:pt idx="8">
                  <c:v>Somalia</c:v>
                </c:pt>
                <c:pt idx="9">
                  <c:v>Comoros</c:v>
                </c:pt>
                <c:pt idx="10">
                  <c:v>Libya</c:v>
                </c:pt>
                <c:pt idx="11">
                  <c:v>Tunisia</c:v>
                </c:pt>
                <c:pt idx="12">
                  <c:v>Jordan</c:v>
                </c:pt>
                <c:pt idx="13">
                  <c:v>Syria</c:v>
                </c:pt>
                <c:pt idx="14">
                  <c:v>Algeria</c:v>
                </c:pt>
                <c:pt idx="15">
                  <c:v>Lebanon</c:v>
                </c:pt>
                <c:pt idx="16">
                  <c:v>Qatar</c:v>
                </c:pt>
                <c:pt idx="17">
                  <c:v>Kuwait</c:v>
                </c:pt>
                <c:pt idx="18">
                  <c:v>Sudan*</c:v>
                </c:pt>
                <c:pt idx="19">
                  <c:v>Palestine</c:v>
                </c:pt>
                <c:pt idx="20">
                  <c:v>Arab average</c:v>
                </c:pt>
                <c:pt idx="21">
                  <c:v>World average</c:v>
                </c:pt>
              </c:strCache>
            </c:strRef>
          </c:cat>
          <c:val>
            <c:numRef>
              <c:f>G5_Fig18!$B$2:$B$23</c:f>
              <c:numCache>
                <c:formatCode>0</c:formatCode>
                <c:ptCount val="22"/>
                <c:pt idx="0">
                  <c:v>50</c:v>
                </c:pt>
                <c:pt idx="1">
                  <c:v>29.2</c:v>
                </c:pt>
                <c:pt idx="2">
                  <c:v>27.7</c:v>
                </c:pt>
                <c:pt idx="3">
                  <c:v>26.2</c:v>
                </c:pt>
                <c:pt idx="4">
                  <c:v>24.3</c:v>
                </c:pt>
                <c:pt idx="5">
                  <c:v>23.3</c:v>
                </c:pt>
                <c:pt idx="6">
                  <c:v>20</c:v>
                </c:pt>
                <c:pt idx="7">
                  <c:v>19.899999999999999</c:v>
                </c:pt>
                <c:pt idx="8">
                  <c:v>19.600000000000001</c:v>
                </c:pt>
                <c:pt idx="9">
                  <c:v>16.7</c:v>
                </c:pt>
                <c:pt idx="10">
                  <c:v>16.5</c:v>
                </c:pt>
                <c:pt idx="11">
                  <c:v>15.7</c:v>
                </c:pt>
                <c:pt idx="12">
                  <c:v>13.1</c:v>
                </c:pt>
                <c:pt idx="13">
                  <c:v>10.4</c:v>
                </c:pt>
                <c:pt idx="14">
                  <c:v>7.9</c:v>
                </c:pt>
                <c:pt idx="15">
                  <c:v>6.3</c:v>
                </c:pt>
                <c:pt idx="16">
                  <c:v>4.4000000000000004</c:v>
                </c:pt>
                <c:pt idx="17">
                  <c:v>3.1</c:v>
                </c:pt>
                <c:pt idx="18">
                  <c:v>0</c:v>
                </c:pt>
                <c:pt idx="20">
                  <c:v>17.728237791932099</c:v>
                </c:pt>
                <c:pt idx="21">
                  <c:v>26.9</c:v>
                </c:pt>
              </c:numCache>
            </c:numRef>
          </c:val>
          <c:extLst>
            <c:ext xmlns:c16="http://schemas.microsoft.com/office/drawing/2014/chart" uri="{C3380CC4-5D6E-409C-BE32-E72D297353CC}">
              <c16:uniqueId val="{00000000-E349-4322-AAC0-F16FE6EE34A3}"/>
            </c:ext>
          </c:extLst>
        </c:ser>
        <c:dLbls>
          <c:showLegendKey val="0"/>
          <c:showVal val="0"/>
          <c:showCatName val="0"/>
          <c:showSerName val="0"/>
          <c:showPercent val="0"/>
          <c:showBubbleSize val="0"/>
        </c:dLbls>
        <c:gapWidth val="219"/>
        <c:overlap val="-27"/>
        <c:axId val="1654931312"/>
        <c:axId val="1654932752"/>
      </c:barChart>
      <c:scatterChart>
        <c:scatterStyle val="lineMarker"/>
        <c:varyColors val="0"/>
        <c:ser>
          <c:idx val="1"/>
          <c:order val="1"/>
          <c:tx>
            <c:strRef>
              <c:f>G5_Fig18!$C$1</c:f>
              <c:strCache>
                <c:ptCount val="1"/>
                <c:pt idx="0">
                  <c:v>Legal frameworks that promote, enforce and monitor gender equality -- Area 3: employment and economic benefits</c:v>
                </c:pt>
              </c:strCache>
            </c:strRef>
          </c:tx>
          <c:spPr>
            <a:ln w="25400" cap="rnd">
              <a:noFill/>
              <a:round/>
            </a:ln>
            <a:effectLst/>
          </c:spPr>
          <c:marker>
            <c:symbol val="circle"/>
            <c:size val="5"/>
            <c:spPr>
              <a:solidFill>
                <a:srgbClr val="92D050"/>
              </a:solidFill>
              <a:ln w="9525">
                <a:solidFill>
                  <a:srgbClr val="92D050"/>
                </a:solidFill>
              </a:ln>
              <a:effectLst/>
            </c:spPr>
          </c:marker>
          <c:xVal>
            <c:strRef>
              <c:f>G5_Fig18!$A$2:$A$23</c:f>
              <c:strCache>
                <c:ptCount val="22"/>
                <c:pt idx="0">
                  <c:v>United Arab Emirates</c:v>
                </c:pt>
                <c:pt idx="1">
                  <c:v>Iraq</c:v>
                </c:pt>
                <c:pt idx="2">
                  <c:v>Egypt</c:v>
                </c:pt>
                <c:pt idx="3">
                  <c:v>Djibouti</c:v>
                </c:pt>
                <c:pt idx="4">
                  <c:v>Morocco</c:v>
                </c:pt>
                <c:pt idx="5">
                  <c:v>Mauritania</c:v>
                </c:pt>
                <c:pt idx="6">
                  <c:v>Bahrain</c:v>
                </c:pt>
                <c:pt idx="7">
                  <c:v>Saudi Arabia</c:v>
                </c:pt>
                <c:pt idx="8">
                  <c:v>Somalia</c:v>
                </c:pt>
                <c:pt idx="9">
                  <c:v>Comoros</c:v>
                </c:pt>
                <c:pt idx="10">
                  <c:v>Libya</c:v>
                </c:pt>
                <c:pt idx="11">
                  <c:v>Tunisia</c:v>
                </c:pt>
                <c:pt idx="12">
                  <c:v>Jordan</c:v>
                </c:pt>
                <c:pt idx="13">
                  <c:v>Syria</c:v>
                </c:pt>
                <c:pt idx="14">
                  <c:v>Algeria</c:v>
                </c:pt>
                <c:pt idx="15">
                  <c:v>Lebanon</c:v>
                </c:pt>
                <c:pt idx="16">
                  <c:v>Qatar</c:v>
                </c:pt>
                <c:pt idx="17">
                  <c:v>Kuwait</c:v>
                </c:pt>
                <c:pt idx="18">
                  <c:v>Sudan*</c:v>
                </c:pt>
                <c:pt idx="19">
                  <c:v>Palestine</c:v>
                </c:pt>
                <c:pt idx="20">
                  <c:v>Arab average</c:v>
                </c:pt>
                <c:pt idx="21">
                  <c:v>World average</c:v>
                </c:pt>
              </c:strCache>
            </c:strRef>
          </c:xVal>
          <c:yVal>
            <c:numRef>
              <c:f>G5_Fig18!$C$2:$C$23</c:f>
              <c:numCache>
                <c:formatCode>0</c:formatCode>
                <c:ptCount val="22"/>
                <c:pt idx="0">
                  <c:v>80</c:v>
                </c:pt>
                <c:pt idx="1">
                  <c:v>70</c:v>
                </c:pt>
                <c:pt idx="4">
                  <c:v>70</c:v>
                </c:pt>
                <c:pt idx="11">
                  <c:v>40</c:v>
                </c:pt>
                <c:pt idx="12">
                  <c:v>40</c:v>
                </c:pt>
                <c:pt idx="15">
                  <c:v>50</c:v>
                </c:pt>
                <c:pt idx="18">
                  <c:v>0</c:v>
                </c:pt>
                <c:pt idx="19">
                  <c:v>30</c:v>
                </c:pt>
              </c:numCache>
            </c:numRef>
          </c:yVal>
          <c:smooth val="0"/>
          <c:extLst>
            <c:ext xmlns:c16="http://schemas.microsoft.com/office/drawing/2014/chart" uri="{C3380CC4-5D6E-409C-BE32-E72D297353CC}">
              <c16:uniqueId val="{00000001-E349-4322-AAC0-F16FE6EE34A3}"/>
            </c:ext>
          </c:extLst>
        </c:ser>
        <c:ser>
          <c:idx val="2"/>
          <c:order val="2"/>
          <c:tx>
            <c:strRef>
              <c:f>G5_Fig18!$D$1</c:f>
              <c:strCache>
                <c:ptCount val="1"/>
                <c:pt idx="0">
                  <c:v>Quotas for women in national parliaments to promote greater participation of women in politics</c:v>
                </c:pt>
              </c:strCache>
            </c:strRef>
          </c:tx>
          <c:spPr>
            <a:ln w="25400" cap="rnd">
              <a:noFill/>
              <a:round/>
            </a:ln>
            <a:effectLst/>
          </c:spPr>
          <c:marker>
            <c:symbol val="star"/>
            <c:size val="10"/>
            <c:spPr>
              <a:noFill/>
              <a:ln w="19050">
                <a:solidFill>
                  <a:schemeClr val="accent5">
                    <a:alpha val="68000"/>
                  </a:schemeClr>
                </a:solidFill>
              </a:ln>
              <a:effectLst/>
            </c:spPr>
          </c:marker>
          <c:xVal>
            <c:strRef>
              <c:f>G5_Fig18!$A$2:$A$23</c:f>
              <c:strCache>
                <c:ptCount val="22"/>
                <c:pt idx="0">
                  <c:v>United Arab Emirates</c:v>
                </c:pt>
                <c:pt idx="1">
                  <c:v>Iraq</c:v>
                </c:pt>
                <c:pt idx="2">
                  <c:v>Egypt</c:v>
                </c:pt>
                <c:pt idx="3">
                  <c:v>Djibouti</c:v>
                </c:pt>
                <c:pt idx="4">
                  <c:v>Morocco</c:v>
                </c:pt>
                <c:pt idx="5">
                  <c:v>Mauritania</c:v>
                </c:pt>
                <c:pt idx="6">
                  <c:v>Bahrain</c:v>
                </c:pt>
                <c:pt idx="7">
                  <c:v>Saudi Arabia</c:v>
                </c:pt>
                <c:pt idx="8">
                  <c:v>Somalia</c:v>
                </c:pt>
                <c:pt idx="9">
                  <c:v>Comoros</c:v>
                </c:pt>
                <c:pt idx="10">
                  <c:v>Libya</c:v>
                </c:pt>
                <c:pt idx="11">
                  <c:v>Tunisia</c:v>
                </c:pt>
                <c:pt idx="12">
                  <c:v>Jordan</c:v>
                </c:pt>
                <c:pt idx="13">
                  <c:v>Syria</c:v>
                </c:pt>
                <c:pt idx="14">
                  <c:v>Algeria</c:v>
                </c:pt>
                <c:pt idx="15">
                  <c:v>Lebanon</c:v>
                </c:pt>
                <c:pt idx="16">
                  <c:v>Qatar</c:v>
                </c:pt>
                <c:pt idx="17">
                  <c:v>Kuwait</c:v>
                </c:pt>
                <c:pt idx="18">
                  <c:v>Sudan*</c:v>
                </c:pt>
                <c:pt idx="19">
                  <c:v>Palestine</c:v>
                </c:pt>
                <c:pt idx="20">
                  <c:v>Arab average</c:v>
                </c:pt>
                <c:pt idx="21">
                  <c:v>World average</c:v>
                </c:pt>
              </c:strCache>
            </c:strRef>
          </c:xVal>
          <c:yVal>
            <c:numRef>
              <c:f>G5_Fig18!$D$2:$D$23</c:f>
              <c:numCache>
                <c:formatCode>0</c:formatCode>
                <c:ptCount val="22"/>
                <c:pt idx="0">
                  <c:v>1</c:v>
                </c:pt>
                <c:pt idx="1">
                  <c:v>1</c:v>
                </c:pt>
                <c:pt idx="2">
                  <c:v>1</c:v>
                </c:pt>
                <c:pt idx="4">
                  <c:v>1</c:v>
                </c:pt>
                <c:pt idx="7">
                  <c:v>1</c:v>
                </c:pt>
                <c:pt idx="8">
                  <c:v>1</c:v>
                </c:pt>
                <c:pt idx="11">
                  <c:v>1</c:v>
                </c:pt>
                <c:pt idx="12">
                  <c:v>1</c:v>
                </c:pt>
                <c:pt idx="18">
                  <c:v>1</c:v>
                </c:pt>
                <c:pt idx="19">
                  <c:v>1</c:v>
                </c:pt>
              </c:numCache>
            </c:numRef>
          </c:yVal>
          <c:smooth val="0"/>
          <c:extLst>
            <c:ext xmlns:c16="http://schemas.microsoft.com/office/drawing/2014/chart" uri="{C3380CC4-5D6E-409C-BE32-E72D297353CC}">
              <c16:uniqueId val="{00000002-E349-4322-AAC0-F16FE6EE34A3}"/>
            </c:ext>
          </c:extLst>
        </c:ser>
        <c:dLbls>
          <c:showLegendKey val="0"/>
          <c:showVal val="0"/>
          <c:showCatName val="0"/>
          <c:showSerName val="0"/>
          <c:showPercent val="0"/>
          <c:showBubbleSize val="0"/>
        </c:dLbls>
        <c:axId val="1654926992"/>
        <c:axId val="1654926512"/>
      </c:scatterChart>
      <c:catAx>
        <c:axId val="165493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4932752"/>
        <c:crosses val="autoZero"/>
        <c:auto val="1"/>
        <c:lblAlgn val="ctr"/>
        <c:lblOffset val="100"/>
        <c:noMultiLvlLbl val="0"/>
      </c:catAx>
      <c:valAx>
        <c:axId val="1654932752"/>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Women in national parliaments (%)</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4931312"/>
        <c:crosses val="autoZero"/>
        <c:crossBetween val="between"/>
      </c:valAx>
      <c:valAx>
        <c:axId val="1654926512"/>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Legal frameworks that promote, enforce and monitor gender equality</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4926992"/>
        <c:crosses val="max"/>
        <c:crossBetween val="midCat"/>
      </c:valAx>
      <c:valAx>
        <c:axId val="1654926992"/>
        <c:scaling>
          <c:orientation val="minMax"/>
        </c:scaling>
        <c:delete val="1"/>
        <c:axPos val="t"/>
        <c:majorTickMark val="out"/>
        <c:minorTickMark val="none"/>
        <c:tickLblPos val="nextTo"/>
        <c:crossAx val="1654926512"/>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G5_Fig19!$B$1</c:f>
              <c:strCache>
                <c:ptCount val="1"/>
                <c:pt idx="0">
                  <c:v>Data</c:v>
                </c:pt>
              </c:strCache>
            </c:strRef>
          </c:tx>
          <c:spPr>
            <a:solidFill>
              <a:schemeClr val="accent1"/>
            </a:solidFill>
            <a:ln>
              <a:noFill/>
            </a:ln>
            <a:effectLst/>
          </c:spPr>
          <c:invertIfNegative val="0"/>
          <c:dPt>
            <c:idx val="1"/>
            <c:invertIfNegative val="0"/>
            <c:bubble3D val="0"/>
            <c:spPr>
              <a:solidFill>
                <a:srgbClr val="92D050"/>
              </a:solidFill>
              <a:ln>
                <a:noFill/>
              </a:ln>
              <a:effectLst/>
            </c:spPr>
            <c:extLst>
              <c:ext xmlns:c16="http://schemas.microsoft.com/office/drawing/2014/chart" uri="{C3380CC4-5D6E-409C-BE32-E72D297353CC}">
                <c16:uniqueId val="{00000007-DFB7-4584-85AD-5F1444C1E92C}"/>
              </c:ext>
            </c:extLst>
          </c:dPt>
          <c:dPt>
            <c:idx val="2"/>
            <c:invertIfNegative val="0"/>
            <c:bubble3D val="0"/>
            <c:spPr>
              <a:solidFill>
                <a:srgbClr val="FFC000"/>
              </a:solidFill>
              <a:ln>
                <a:noFill/>
              </a:ln>
              <a:effectLst/>
            </c:spPr>
            <c:extLst>
              <c:ext xmlns:c16="http://schemas.microsoft.com/office/drawing/2014/chart" uri="{C3380CC4-5D6E-409C-BE32-E72D297353CC}">
                <c16:uniqueId val="{00000008-DFB7-4584-85AD-5F1444C1E92C}"/>
              </c:ext>
            </c:extLst>
          </c:dPt>
          <c:dPt>
            <c:idx val="3"/>
            <c:invertIfNegative val="0"/>
            <c:bubble3D val="0"/>
            <c:spPr>
              <a:solidFill>
                <a:schemeClr val="accent2"/>
              </a:solidFill>
              <a:ln>
                <a:noFill/>
              </a:ln>
              <a:effectLst/>
            </c:spPr>
            <c:extLst>
              <c:ext xmlns:c16="http://schemas.microsoft.com/office/drawing/2014/chart" uri="{C3380CC4-5D6E-409C-BE32-E72D297353CC}">
                <c16:uniqueId val="{00000009-DFB7-4584-85AD-5F1444C1E92C}"/>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A-DFB7-4584-85AD-5F1444C1E92C}"/>
              </c:ext>
            </c:extLst>
          </c:dPt>
          <c:dPt>
            <c:idx val="5"/>
            <c:invertIfNegative val="0"/>
            <c:bubble3D val="0"/>
            <c:spPr>
              <a:solidFill>
                <a:srgbClr val="00B0F0"/>
              </a:solidFill>
              <a:ln>
                <a:noFill/>
              </a:ln>
              <a:effectLst/>
            </c:spPr>
            <c:extLst>
              <c:ext xmlns:c16="http://schemas.microsoft.com/office/drawing/2014/chart" uri="{C3380CC4-5D6E-409C-BE32-E72D297353CC}">
                <c16:uniqueId val="{0000000B-DFB7-4584-85AD-5F1444C1E92C}"/>
              </c:ext>
            </c:extLst>
          </c:dPt>
          <c:dPt>
            <c:idx val="6"/>
            <c:invertIfNegative val="0"/>
            <c:bubble3D val="0"/>
            <c:spPr>
              <a:solidFill>
                <a:schemeClr val="bg1">
                  <a:lumMod val="75000"/>
                </a:schemeClr>
              </a:solidFill>
              <a:ln>
                <a:noFill/>
              </a:ln>
              <a:effectLst/>
            </c:spPr>
            <c:extLst>
              <c:ext xmlns:c16="http://schemas.microsoft.com/office/drawing/2014/chart" uri="{C3380CC4-5D6E-409C-BE32-E72D297353CC}">
                <c16:uniqueId val="{0000000C-DFB7-4584-85AD-5F1444C1E92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G5_Fig19!$A$2:$A$8</c:f>
              <c:strCache>
                <c:ptCount val="7"/>
                <c:pt idx="0">
                  <c:v>Palestine</c:v>
                </c:pt>
                <c:pt idx="1">
                  <c:v>Sudan</c:v>
                </c:pt>
                <c:pt idx="2">
                  <c:v>Egypt</c:v>
                </c:pt>
                <c:pt idx="3">
                  <c:v>Jordan</c:v>
                </c:pt>
                <c:pt idx="4">
                  <c:v>Morocco</c:v>
                </c:pt>
                <c:pt idx="5">
                  <c:v>Tunisia</c:v>
                </c:pt>
                <c:pt idx="6">
                  <c:v>Comoros</c:v>
                </c:pt>
              </c:strCache>
            </c:strRef>
          </c:cat>
          <c:val>
            <c:numRef>
              <c:f>G5_Fig19!$B$2:$B$8</c:f>
              <c:numCache>
                <c:formatCode>#,##0"%"</c:formatCode>
                <c:ptCount val="7"/>
                <c:pt idx="0">
                  <c:v>19.100000000000001</c:v>
                </c:pt>
                <c:pt idx="1">
                  <c:v>16.7</c:v>
                </c:pt>
                <c:pt idx="2">
                  <c:v>15.1</c:v>
                </c:pt>
                <c:pt idx="3">
                  <c:v>13.5</c:v>
                </c:pt>
                <c:pt idx="4">
                  <c:v>10.5</c:v>
                </c:pt>
                <c:pt idx="5">
                  <c:v>10.1</c:v>
                </c:pt>
                <c:pt idx="6">
                  <c:v>8.1999999999999993</c:v>
                </c:pt>
              </c:numCache>
            </c:numRef>
          </c:val>
          <c:extLst>
            <c:ext xmlns:c16="http://schemas.microsoft.com/office/drawing/2014/chart" uri="{C3380CC4-5D6E-409C-BE32-E72D297353CC}">
              <c16:uniqueId val="{00000000-DFB7-4584-85AD-5F1444C1E92C}"/>
            </c:ext>
          </c:extLst>
        </c:ser>
        <c:dLbls>
          <c:dLblPos val="outEnd"/>
          <c:showLegendKey val="0"/>
          <c:showVal val="1"/>
          <c:showCatName val="0"/>
          <c:showSerName val="0"/>
          <c:showPercent val="0"/>
          <c:showBubbleSize val="0"/>
        </c:dLbls>
        <c:gapWidth val="50"/>
        <c:overlap val="-27"/>
        <c:axId val="1682381631"/>
        <c:axId val="1682388831"/>
      </c:barChart>
      <c:catAx>
        <c:axId val="1682381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2388831"/>
        <c:crosses val="autoZero"/>
        <c:auto val="1"/>
        <c:lblAlgn val="ctr"/>
        <c:lblOffset val="100"/>
        <c:noMultiLvlLbl val="0"/>
      </c:catAx>
      <c:valAx>
        <c:axId val="1682388831"/>
        <c:scaling>
          <c:orientation val="minMax"/>
          <c:max val="20"/>
        </c:scaling>
        <c:delete val="0"/>
        <c:axPos val="l"/>
        <c:numFmt formatCode="#,##0&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238163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G5_Fig20!$B$1</c:f>
              <c:strCache>
                <c:ptCount val="1"/>
                <c:pt idx="0">
                  <c:v>Value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G5_Fig20!$A$2:$A$6</c:f>
              <c:numCache>
                <c:formatCode>General</c:formatCode>
                <c:ptCount val="5"/>
                <c:pt idx="0">
                  <c:v>2002</c:v>
                </c:pt>
                <c:pt idx="1">
                  <c:v>2007</c:v>
                </c:pt>
                <c:pt idx="2">
                  <c:v>2012</c:v>
                </c:pt>
                <c:pt idx="3">
                  <c:v>2017</c:v>
                </c:pt>
                <c:pt idx="4">
                  <c:v>2022</c:v>
                </c:pt>
              </c:numCache>
            </c:numRef>
          </c:cat>
          <c:val>
            <c:numRef>
              <c:f>G5_Fig20!$B$2:$B$6</c:f>
              <c:numCache>
                <c:formatCode>0%</c:formatCode>
                <c:ptCount val="5"/>
                <c:pt idx="0">
                  <c:v>0.70911000000000002</c:v>
                </c:pt>
                <c:pt idx="1">
                  <c:v>0.67783000000000004</c:v>
                </c:pt>
                <c:pt idx="2">
                  <c:v>0.63776999999999995</c:v>
                </c:pt>
                <c:pt idx="3">
                  <c:v>0.60455999999999999</c:v>
                </c:pt>
                <c:pt idx="4">
                  <c:v>0.54281000000000001</c:v>
                </c:pt>
              </c:numCache>
            </c:numRef>
          </c:val>
          <c:extLst>
            <c:ext xmlns:c16="http://schemas.microsoft.com/office/drawing/2014/chart" uri="{C3380CC4-5D6E-409C-BE32-E72D297353CC}">
              <c16:uniqueId val="{00000000-3503-4F7F-AEEF-CE3D3BDB2C42}"/>
            </c:ext>
          </c:extLst>
        </c:ser>
        <c:dLbls>
          <c:dLblPos val="outEnd"/>
          <c:showLegendKey val="0"/>
          <c:showVal val="1"/>
          <c:showCatName val="0"/>
          <c:showSerName val="0"/>
          <c:showPercent val="0"/>
          <c:showBubbleSize val="0"/>
        </c:dLbls>
        <c:gapWidth val="100"/>
        <c:overlap val="-27"/>
        <c:axId val="425253824"/>
        <c:axId val="425257184"/>
      </c:barChart>
      <c:catAx>
        <c:axId val="4252538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baseline="0">
                    <a:effectLst/>
                  </a:rPr>
                  <a:t>Prevalence of Female Genital Mutilation, girls aged 15-19 years old (%)</a:t>
                </a:r>
                <a:endParaRPr lang="en-US"/>
              </a:p>
            </c:rich>
          </c:tx>
          <c:layout>
            <c:manualLayout>
              <c:xMode val="edge"/>
              <c:yMode val="edge"/>
              <c:x val="0.11582767937446752"/>
              <c:y val="1.620801936926317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257184"/>
        <c:crosses val="autoZero"/>
        <c:auto val="1"/>
        <c:lblAlgn val="ctr"/>
        <c:lblOffset val="100"/>
        <c:noMultiLvlLbl val="0"/>
      </c:catAx>
      <c:valAx>
        <c:axId val="425257184"/>
        <c:scaling>
          <c:orientation val="minMax"/>
        </c:scaling>
        <c:delete val="1"/>
        <c:axPos val="l"/>
        <c:numFmt formatCode="0%" sourceLinked="1"/>
        <c:majorTickMark val="none"/>
        <c:minorTickMark val="none"/>
        <c:tickLblPos val="nextTo"/>
        <c:crossAx val="425253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G5_Fig21!$A$2</c:f>
              <c:strCache>
                <c:ptCount val="1"/>
                <c:pt idx="0">
                  <c:v>Internet use</c:v>
                </c:pt>
              </c:strCache>
            </c:strRef>
          </c:tx>
          <c:spPr>
            <a:solidFill>
              <a:schemeClr val="accent1"/>
            </a:solidFill>
            <a:ln>
              <a:noFill/>
            </a:ln>
            <a:effectLst/>
          </c:spPr>
          <c:invertIfNegative val="0"/>
          <c:dLbls>
            <c:dLbl>
              <c:idx val="0"/>
              <c:layout>
                <c:manualLayout>
                  <c:x val="-3.9210201568222816E-3"/>
                  <c:y val="0.162962962962962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9C-4C28-93E5-D619F4D8B01B}"/>
                </c:ext>
              </c:extLst>
            </c:dLbl>
            <c:dLbl>
              <c:idx val="1"/>
              <c:layout>
                <c:manualLayout>
                  <c:x val="2.7777777777777779E-3"/>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9C-4C28-93E5-D619F4D8B01B}"/>
                </c:ext>
              </c:extLst>
            </c:dLbl>
            <c:dLbl>
              <c:idx val="2"/>
              <c:layout>
                <c:manualLayout>
                  <c:x val="5.5555555555554534E-3"/>
                  <c:y val="0.13888888888888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9C-4C28-93E5-D619F4D8B01B}"/>
                </c:ext>
              </c:extLst>
            </c:dLbl>
            <c:dLbl>
              <c:idx val="3"/>
              <c:layout>
                <c:manualLayout>
                  <c:x val="5.5555555555556572E-3"/>
                  <c:y val="0.180555555555555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9C-4C28-93E5-D619F4D8B01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G5_Fig21!$B$1:$E$1</c:f>
              <c:strCache>
                <c:ptCount val="4"/>
                <c:pt idx="0">
                  <c:v>Female</c:v>
                </c:pt>
                <c:pt idx="1">
                  <c:v>Male</c:v>
                </c:pt>
                <c:pt idx="2">
                  <c:v>Rural</c:v>
                </c:pt>
                <c:pt idx="3">
                  <c:v>Urban</c:v>
                </c:pt>
              </c:strCache>
            </c:strRef>
          </c:cat>
          <c:val>
            <c:numRef>
              <c:f>G5_Fig21!$B$2:$E$2</c:f>
              <c:numCache>
                <c:formatCode>0%</c:formatCode>
                <c:ptCount val="4"/>
                <c:pt idx="0">
                  <c:v>0.63800000000000001</c:v>
                </c:pt>
                <c:pt idx="1">
                  <c:v>0.75</c:v>
                </c:pt>
                <c:pt idx="2">
                  <c:v>0.5</c:v>
                </c:pt>
                <c:pt idx="3">
                  <c:v>0.83</c:v>
                </c:pt>
              </c:numCache>
            </c:numRef>
          </c:val>
          <c:extLst>
            <c:ext xmlns:c16="http://schemas.microsoft.com/office/drawing/2014/chart" uri="{C3380CC4-5D6E-409C-BE32-E72D297353CC}">
              <c16:uniqueId val="{00000000-C8B9-4D8C-AF8D-6F2A91B1B424}"/>
            </c:ext>
          </c:extLst>
        </c:ser>
        <c:dLbls>
          <c:showLegendKey val="0"/>
          <c:showVal val="1"/>
          <c:showCatName val="0"/>
          <c:showSerName val="0"/>
          <c:showPercent val="0"/>
          <c:showBubbleSize val="0"/>
        </c:dLbls>
        <c:gapWidth val="219"/>
        <c:overlap val="-27"/>
        <c:axId val="1953022095"/>
        <c:axId val="1953024495"/>
      </c:barChart>
      <c:scatterChart>
        <c:scatterStyle val="lineMarker"/>
        <c:varyColors val="0"/>
        <c:ser>
          <c:idx val="1"/>
          <c:order val="1"/>
          <c:tx>
            <c:strRef>
              <c:f>G5_Fig21!$A$3</c:f>
              <c:strCache>
                <c:ptCount val="1"/>
                <c:pt idx="0">
                  <c:v>Mobile phone ownership</c:v>
                </c:pt>
              </c:strCache>
            </c:strRef>
          </c:tx>
          <c:spPr>
            <a:ln w="25400" cap="rnd">
              <a:no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G5_Fig21!$B$1:$E$1</c:f>
              <c:strCache>
                <c:ptCount val="4"/>
                <c:pt idx="0">
                  <c:v>Female</c:v>
                </c:pt>
                <c:pt idx="1">
                  <c:v>Male</c:v>
                </c:pt>
                <c:pt idx="2">
                  <c:v>Rural</c:v>
                </c:pt>
                <c:pt idx="3">
                  <c:v>Urban</c:v>
                </c:pt>
              </c:strCache>
            </c:strRef>
          </c:xVal>
          <c:yVal>
            <c:numRef>
              <c:f>G5_Fig21!$B$3:$E$3</c:f>
              <c:numCache>
                <c:formatCode>0%</c:formatCode>
                <c:ptCount val="4"/>
                <c:pt idx="0">
                  <c:v>0.79</c:v>
                </c:pt>
                <c:pt idx="1">
                  <c:v>0.87</c:v>
                </c:pt>
              </c:numCache>
            </c:numRef>
          </c:yVal>
          <c:smooth val="0"/>
          <c:extLst>
            <c:ext xmlns:c16="http://schemas.microsoft.com/office/drawing/2014/chart" uri="{C3380CC4-5D6E-409C-BE32-E72D297353CC}">
              <c16:uniqueId val="{00000001-C8B9-4D8C-AF8D-6F2A91B1B424}"/>
            </c:ext>
          </c:extLst>
        </c:ser>
        <c:dLbls>
          <c:showLegendKey val="0"/>
          <c:showVal val="1"/>
          <c:showCatName val="0"/>
          <c:showSerName val="0"/>
          <c:showPercent val="0"/>
          <c:showBubbleSize val="0"/>
        </c:dLbls>
        <c:axId val="1953022095"/>
        <c:axId val="1953024495"/>
      </c:scatterChart>
      <c:catAx>
        <c:axId val="1953022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3024495"/>
        <c:crosses val="autoZero"/>
        <c:auto val="1"/>
        <c:lblAlgn val="ctr"/>
        <c:lblOffset val="100"/>
        <c:noMultiLvlLbl val="0"/>
      </c:catAx>
      <c:valAx>
        <c:axId val="1953024495"/>
        <c:scaling>
          <c:orientation val="minMax"/>
        </c:scaling>
        <c:delete val="1"/>
        <c:axPos val="l"/>
        <c:numFmt formatCode="0%" sourceLinked="1"/>
        <c:majorTickMark val="none"/>
        <c:minorTickMark val="none"/>
        <c:tickLblPos val="nextTo"/>
        <c:crossAx val="1953022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G5_Fig21!$A$6</c:f>
              <c:strCache>
                <c:ptCount val="1"/>
                <c:pt idx="0">
                  <c:v>Internet use</c:v>
                </c:pt>
              </c:strCache>
            </c:strRef>
          </c:tx>
          <c:spPr>
            <a:solidFill>
              <a:schemeClr val="accent1"/>
            </a:solidFill>
            <a:ln>
              <a:noFill/>
            </a:ln>
            <a:effectLst/>
          </c:spPr>
          <c:invertIfNegative val="0"/>
          <c:dLbls>
            <c:dLbl>
              <c:idx val="0"/>
              <c:layout>
                <c:manualLayout>
                  <c:x val="-5.5555555555556061E-3"/>
                  <c:y val="9.2592592592592629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78-472A-989F-57E73E0E2628}"/>
                </c:ext>
              </c:extLst>
            </c:dLbl>
            <c:dLbl>
              <c:idx val="1"/>
              <c:layout>
                <c:manualLayout>
                  <c:x val="-5.5555555555556572E-3"/>
                  <c:y val="0.12500000000000006"/>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78-472A-989F-57E73E0E26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G5_Fig21!$B$5:$C$5</c:f>
              <c:strCache>
                <c:ptCount val="2"/>
                <c:pt idx="0">
                  <c:v>World</c:v>
                </c:pt>
                <c:pt idx="1">
                  <c:v>Arab region</c:v>
                </c:pt>
              </c:strCache>
            </c:strRef>
          </c:cat>
          <c:val>
            <c:numRef>
              <c:f>G5_Fig21!$B$6:$C$6</c:f>
              <c:numCache>
                <c:formatCode>0%</c:formatCode>
                <c:ptCount val="2"/>
                <c:pt idx="0">
                  <c:v>0.68</c:v>
                </c:pt>
                <c:pt idx="1">
                  <c:v>0.7</c:v>
                </c:pt>
              </c:numCache>
            </c:numRef>
          </c:val>
          <c:extLst>
            <c:ext xmlns:c16="http://schemas.microsoft.com/office/drawing/2014/chart" uri="{C3380CC4-5D6E-409C-BE32-E72D297353CC}">
              <c16:uniqueId val="{00000000-7878-472A-989F-57E73E0E2628}"/>
            </c:ext>
          </c:extLst>
        </c:ser>
        <c:dLbls>
          <c:showLegendKey val="0"/>
          <c:showVal val="0"/>
          <c:showCatName val="0"/>
          <c:showSerName val="0"/>
          <c:showPercent val="0"/>
          <c:showBubbleSize val="0"/>
        </c:dLbls>
        <c:gapWidth val="219"/>
        <c:overlap val="-27"/>
        <c:axId val="828706511"/>
        <c:axId val="828711311"/>
      </c:barChart>
      <c:scatterChart>
        <c:scatterStyle val="lineMarker"/>
        <c:varyColors val="0"/>
        <c:ser>
          <c:idx val="1"/>
          <c:order val="1"/>
          <c:tx>
            <c:strRef>
              <c:f>G5_Fig21!$A$7</c:f>
              <c:strCache>
                <c:ptCount val="1"/>
                <c:pt idx="0">
                  <c:v>Mobile phone ownership</c:v>
                </c:pt>
              </c:strCache>
            </c:strRef>
          </c:tx>
          <c:spPr>
            <a:ln w="25400" cap="rnd">
              <a:no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G5_Fig21!$B$5:$C$5</c:f>
              <c:strCache>
                <c:ptCount val="2"/>
                <c:pt idx="0">
                  <c:v>World</c:v>
                </c:pt>
                <c:pt idx="1">
                  <c:v>Arab region</c:v>
                </c:pt>
              </c:strCache>
            </c:strRef>
          </c:xVal>
          <c:yVal>
            <c:numRef>
              <c:f>G5_Fig21!$B$7:$C$7</c:f>
              <c:numCache>
                <c:formatCode>0%</c:formatCode>
                <c:ptCount val="2"/>
                <c:pt idx="0">
                  <c:v>0.8</c:v>
                </c:pt>
                <c:pt idx="1">
                  <c:v>0.83</c:v>
                </c:pt>
              </c:numCache>
            </c:numRef>
          </c:yVal>
          <c:smooth val="0"/>
          <c:extLst>
            <c:ext xmlns:c16="http://schemas.microsoft.com/office/drawing/2014/chart" uri="{C3380CC4-5D6E-409C-BE32-E72D297353CC}">
              <c16:uniqueId val="{00000001-7878-472A-989F-57E73E0E2628}"/>
            </c:ext>
          </c:extLst>
        </c:ser>
        <c:dLbls>
          <c:showLegendKey val="0"/>
          <c:showVal val="0"/>
          <c:showCatName val="0"/>
          <c:showSerName val="0"/>
          <c:showPercent val="0"/>
          <c:showBubbleSize val="0"/>
        </c:dLbls>
        <c:axId val="898898864"/>
        <c:axId val="866210384"/>
      </c:scatterChart>
      <c:catAx>
        <c:axId val="828706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711311"/>
        <c:crosses val="autoZero"/>
        <c:auto val="1"/>
        <c:lblAlgn val="ctr"/>
        <c:lblOffset val="100"/>
        <c:noMultiLvlLbl val="0"/>
      </c:catAx>
      <c:valAx>
        <c:axId val="828711311"/>
        <c:scaling>
          <c:orientation val="minMax"/>
        </c:scaling>
        <c:delete val="1"/>
        <c:axPos val="l"/>
        <c:numFmt formatCode="0%" sourceLinked="1"/>
        <c:majorTickMark val="none"/>
        <c:minorTickMark val="none"/>
        <c:tickLblPos val="nextTo"/>
        <c:crossAx val="828706511"/>
        <c:crosses val="autoZero"/>
        <c:crossBetween val="between"/>
      </c:valAx>
      <c:valAx>
        <c:axId val="866210384"/>
        <c:scaling>
          <c:orientation val="minMax"/>
        </c:scaling>
        <c:delete val="1"/>
        <c:axPos val="r"/>
        <c:numFmt formatCode="0%" sourceLinked="1"/>
        <c:majorTickMark val="out"/>
        <c:minorTickMark val="none"/>
        <c:tickLblPos val="nextTo"/>
        <c:crossAx val="898898864"/>
        <c:crosses val="max"/>
        <c:crossBetween val="midCat"/>
      </c:valAx>
      <c:valAx>
        <c:axId val="898898864"/>
        <c:scaling>
          <c:orientation val="minMax"/>
        </c:scaling>
        <c:delete val="1"/>
        <c:axPos val="t"/>
        <c:majorTickMark val="out"/>
        <c:minorTickMark val="none"/>
        <c:tickLblPos val="nextTo"/>
        <c:crossAx val="866210384"/>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G6_Fig22!$A$2</c:f>
              <c:strCache>
                <c:ptCount val="1"/>
                <c:pt idx="0">
                  <c:v>Lack of access to basic drinking water (%), 2022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G6_Fig22!$B$1:$F$1</c:f>
              <c:strCache>
                <c:ptCount val="5"/>
                <c:pt idx="0">
                  <c:v>Arab LDC</c:v>
                </c:pt>
                <c:pt idx="1">
                  <c:v>Arab Region</c:v>
                </c:pt>
                <c:pt idx="2">
                  <c:v>Arab Mashreq</c:v>
                </c:pt>
                <c:pt idx="3">
                  <c:v>Arab Maghreb</c:v>
                </c:pt>
                <c:pt idx="4">
                  <c:v>Arab GCC</c:v>
                </c:pt>
              </c:strCache>
            </c:strRef>
          </c:cat>
          <c:val>
            <c:numRef>
              <c:f>G6_Fig22!$B$2:$F$2</c:f>
              <c:numCache>
                <c:formatCode>0%</c:formatCode>
                <c:ptCount val="5"/>
                <c:pt idx="0">
                  <c:v>0.36559513031284702</c:v>
                </c:pt>
                <c:pt idx="1">
                  <c:v>0.1094726458023124</c:v>
                </c:pt>
                <c:pt idx="2">
                  <c:v>2.0038844668494999E-2</c:v>
                </c:pt>
                <c:pt idx="3">
                  <c:v>7.5003412293996E-2</c:v>
                </c:pt>
                <c:pt idx="4">
                  <c:v>1.4254465961227E-2</c:v>
                </c:pt>
              </c:numCache>
            </c:numRef>
          </c:val>
          <c:extLst>
            <c:ext xmlns:c16="http://schemas.microsoft.com/office/drawing/2014/chart" uri="{C3380CC4-5D6E-409C-BE32-E72D297353CC}">
              <c16:uniqueId val="{00000000-5851-4711-80D3-1C3B0D92653C}"/>
            </c:ext>
          </c:extLst>
        </c:ser>
        <c:ser>
          <c:idx val="1"/>
          <c:order val="1"/>
          <c:tx>
            <c:strRef>
              <c:f>G6_Fig22!$A$3</c:f>
              <c:strCache>
                <c:ptCount val="1"/>
                <c:pt idx="0">
                  <c:v>Lack of access to basic sanitation (%), 2022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G6_Fig22!$B$1:$F$1</c:f>
              <c:strCache>
                <c:ptCount val="5"/>
                <c:pt idx="0">
                  <c:v>Arab LDC</c:v>
                </c:pt>
                <c:pt idx="1">
                  <c:v>Arab Region</c:v>
                </c:pt>
                <c:pt idx="2">
                  <c:v>Arab Mashreq</c:v>
                </c:pt>
                <c:pt idx="3">
                  <c:v>Arab Maghreb</c:v>
                </c:pt>
                <c:pt idx="4">
                  <c:v>Arab GCC</c:v>
                </c:pt>
              </c:strCache>
            </c:strRef>
          </c:cat>
          <c:val>
            <c:numRef>
              <c:f>G6_Fig22!$B$3:$F$3</c:f>
              <c:numCache>
                <c:formatCode>0%</c:formatCode>
                <c:ptCount val="5"/>
                <c:pt idx="0">
                  <c:v>0.304850105530237</c:v>
                </c:pt>
                <c:pt idx="1">
                  <c:v>0.10955316057452212</c:v>
                </c:pt>
                <c:pt idx="2">
                  <c:v>2.4629189912293001E-2</c:v>
                </c:pt>
                <c:pt idx="3">
                  <c:v>0.117157533805889</c:v>
                </c:pt>
                <c:pt idx="4">
                  <c:v>3.0788810372243101E-2</c:v>
                </c:pt>
              </c:numCache>
            </c:numRef>
          </c:val>
          <c:extLst>
            <c:ext xmlns:c16="http://schemas.microsoft.com/office/drawing/2014/chart" uri="{C3380CC4-5D6E-409C-BE32-E72D297353CC}">
              <c16:uniqueId val="{00000001-5851-4711-80D3-1C3B0D92653C}"/>
            </c:ext>
          </c:extLst>
        </c:ser>
        <c:ser>
          <c:idx val="2"/>
          <c:order val="2"/>
          <c:tx>
            <c:strRef>
              <c:f>G6_Fig22!$A$4</c:f>
              <c:strCache>
                <c:ptCount val="1"/>
                <c:pt idx="0">
                  <c:v>Lack of access to safe drinking water (%), 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G6_Fig22!$B$1:$F$1</c:f>
              <c:strCache>
                <c:ptCount val="5"/>
                <c:pt idx="0">
                  <c:v>Arab LDC</c:v>
                </c:pt>
                <c:pt idx="1">
                  <c:v>Arab Region</c:v>
                </c:pt>
                <c:pt idx="2">
                  <c:v>Arab Mashreq</c:v>
                </c:pt>
                <c:pt idx="3">
                  <c:v>Arab Maghreb</c:v>
                </c:pt>
                <c:pt idx="4">
                  <c:v>Arab GCC</c:v>
                </c:pt>
              </c:strCache>
            </c:strRef>
          </c:cat>
          <c:val>
            <c:numRef>
              <c:f>G6_Fig22!$B$4:$F$4</c:f>
              <c:numCache>
                <c:formatCode>0%</c:formatCode>
                <c:ptCount val="5"/>
                <c:pt idx="1">
                  <c:v>0.24900000089092628</c:v>
                </c:pt>
                <c:pt idx="2">
                  <c:v>0.217827959536951</c:v>
                </c:pt>
                <c:pt idx="3">
                  <c:v>0.25472021185013</c:v>
                </c:pt>
              </c:numCache>
            </c:numRef>
          </c:val>
          <c:extLst>
            <c:ext xmlns:c16="http://schemas.microsoft.com/office/drawing/2014/chart" uri="{C3380CC4-5D6E-409C-BE32-E72D297353CC}">
              <c16:uniqueId val="{00000002-5851-4711-80D3-1C3B0D92653C}"/>
            </c:ext>
          </c:extLst>
        </c:ser>
        <c:ser>
          <c:idx val="3"/>
          <c:order val="3"/>
          <c:tx>
            <c:strRef>
              <c:f>G6_Fig22!$A$5</c:f>
              <c:strCache>
                <c:ptCount val="1"/>
                <c:pt idx="0">
                  <c:v>Lack of access to safe sanitation (%), 2022</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G6_Fig22!$B$1:$F$1</c:f>
              <c:strCache>
                <c:ptCount val="5"/>
                <c:pt idx="0">
                  <c:v>Arab LDC</c:v>
                </c:pt>
                <c:pt idx="1">
                  <c:v>Arab Region</c:v>
                </c:pt>
                <c:pt idx="2">
                  <c:v>Arab Mashreq</c:v>
                </c:pt>
                <c:pt idx="3">
                  <c:v>Arab Maghreb</c:v>
                </c:pt>
                <c:pt idx="4">
                  <c:v>Arab GCC</c:v>
                </c:pt>
              </c:strCache>
            </c:strRef>
          </c:cat>
          <c:val>
            <c:numRef>
              <c:f>G6_Fig22!$B$5:$F$5</c:f>
              <c:numCache>
                <c:formatCode>0%</c:formatCode>
                <c:ptCount val="5"/>
                <c:pt idx="0">
                  <c:v>0.55932486948364402</c:v>
                </c:pt>
                <c:pt idx="1">
                  <c:v>0.39673705869435649</c:v>
                </c:pt>
                <c:pt idx="2">
                  <c:v>0.35175768335010998</c:v>
                </c:pt>
                <c:pt idx="3">
                  <c:v>0.48262744659865298</c:v>
                </c:pt>
                <c:pt idx="4">
                  <c:v>0.15897570778279299</c:v>
                </c:pt>
              </c:numCache>
            </c:numRef>
          </c:val>
          <c:extLst>
            <c:ext xmlns:c16="http://schemas.microsoft.com/office/drawing/2014/chart" uri="{C3380CC4-5D6E-409C-BE32-E72D297353CC}">
              <c16:uniqueId val="{00000003-5851-4711-80D3-1C3B0D92653C}"/>
            </c:ext>
          </c:extLst>
        </c:ser>
        <c:ser>
          <c:idx val="4"/>
          <c:order val="4"/>
          <c:tx>
            <c:strRef>
              <c:f>G6_Fig22!$A$6</c:f>
              <c:strCache>
                <c:ptCount val="1"/>
                <c:pt idx="0">
                  <c:v>Lack of access to basic handwashing (%), 2022</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G6_Fig22!$B$1:$F$1</c:f>
              <c:strCache>
                <c:ptCount val="5"/>
                <c:pt idx="0">
                  <c:v>Arab LDC</c:v>
                </c:pt>
                <c:pt idx="1">
                  <c:v>Arab Region</c:v>
                </c:pt>
                <c:pt idx="2">
                  <c:v>Arab Mashreq</c:v>
                </c:pt>
                <c:pt idx="3">
                  <c:v>Arab Maghreb</c:v>
                </c:pt>
                <c:pt idx="4">
                  <c:v>Arab GCC</c:v>
                </c:pt>
              </c:strCache>
            </c:strRef>
          </c:cat>
          <c:val>
            <c:numRef>
              <c:f>G6_Fig22!$B$6:$F$6</c:f>
              <c:numCache>
                <c:formatCode>0%</c:formatCode>
                <c:ptCount val="5"/>
                <c:pt idx="0">
                  <c:v>0.59039555515160402</c:v>
                </c:pt>
                <c:pt idx="1">
                  <c:v>0.215747415848555</c:v>
                </c:pt>
                <c:pt idx="2">
                  <c:v>8.5408970337364998E-2</c:v>
                </c:pt>
                <c:pt idx="3">
                  <c:v>0.28239428605465799</c:v>
                </c:pt>
              </c:numCache>
            </c:numRef>
          </c:val>
          <c:extLst>
            <c:ext xmlns:c16="http://schemas.microsoft.com/office/drawing/2014/chart" uri="{C3380CC4-5D6E-409C-BE32-E72D297353CC}">
              <c16:uniqueId val="{00000004-5851-4711-80D3-1C3B0D92653C}"/>
            </c:ext>
          </c:extLst>
        </c:ser>
        <c:dLbls>
          <c:showLegendKey val="0"/>
          <c:showVal val="0"/>
          <c:showCatName val="0"/>
          <c:showSerName val="0"/>
          <c:showPercent val="0"/>
          <c:showBubbleSize val="0"/>
        </c:dLbls>
        <c:gapWidth val="219"/>
        <c:overlap val="100"/>
        <c:axId val="885726944"/>
        <c:axId val="885704384"/>
      </c:barChart>
      <c:lineChart>
        <c:grouping val="stacked"/>
        <c:varyColors val="0"/>
        <c:ser>
          <c:idx val="5"/>
          <c:order val="5"/>
          <c:tx>
            <c:strRef>
              <c:f>G6_Fig22!$A$7</c:f>
              <c:strCache>
                <c:ptCount val="1"/>
                <c:pt idx="0">
                  <c:v>Female mortality rate attributed to unsafe water, unsafe sanitation and lack of hygiene (PER_100000_POP), 2019</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G6_Fig22!$B$1:$F$1</c:f>
              <c:strCache>
                <c:ptCount val="5"/>
                <c:pt idx="0">
                  <c:v>Arab LDC</c:v>
                </c:pt>
                <c:pt idx="1">
                  <c:v>Arab Region</c:v>
                </c:pt>
                <c:pt idx="2">
                  <c:v>Arab Mashreq</c:v>
                </c:pt>
                <c:pt idx="3">
                  <c:v>Arab Maghreb</c:v>
                </c:pt>
                <c:pt idx="4">
                  <c:v>Arab GCC</c:v>
                </c:pt>
              </c:strCache>
            </c:strRef>
          </c:cat>
          <c:val>
            <c:numRef>
              <c:f>G6_Fig22!$B$7:$F$7</c:f>
              <c:numCache>
                <c:formatCode>0%</c:formatCode>
                <c:ptCount val="5"/>
                <c:pt idx="0">
                  <c:v>0.28041114807128897</c:v>
                </c:pt>
                <c:pt idx="1">
                  <c:v>9.4388303756713907E-2</c:v>
                </c:pt>
                <c:pt idx="2">
                  <c:v>4.5067119598388702E-2</c:v>
                </c:pt>
                <c:pt idx="3">
                  <c:v>3.8731186389923102E-2</c:v>
                </c:pt>
                <c:pt idx="4">
                  <c:v>1.5849845409393298E-2</c:v>
                </c:pt>
              </c:numCache>
            </c:numRef>
          </c:val>
          <c:smooth val="0"/>
          <c:extLst>
            <c:ext xmlns:c16="http://schemas.microsoft.com/office/drawing/2014/chart" uri="{C3380CC4-5D6E-409C-BE32-E72D297353CC}">
              <c16:uniqueId val="{00000005-5851-4711-80D3-1C3B0D92653C}"/>
            </c:ext>
          </c:extLst>
        </c:ser>
        <c:dLbls>
          <c:showLegendKey val="0"/>
          <c:showVal val="0"/>
          <c:showCatName val="0"/>
          <c:showSerName val="0"/>
          <c:showPercent val="0"/>
          <c:showBubbleSize val="0"/>
        </c:dLbls>
        <c:marker val="1"/>
        <c:smooth val="0"/>
        <c:axId val="1053891744"/>
        <c:axId val="1053889344"/>
      </c:lineChart>
      <c:catAx>
        <c:axId val="88572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704384"/>
        <c:crosses val="autoZero"/>
        <c:auto val="1"/>
        <c:lblAlgn val="ctr"/>
        <c:lblOffset val="100"/>
        <c:noMultiLvlLbl val="0"/>
      </c:catAx>
      <c:valAx>
        <c:axId val="8857043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Lack of access to services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726944"/>
        <c:crosses val="autoZero"/>
        <c:crossBetween val="between"/>
      </c:valAx>
      <c:valAx>
        <c:axId val="105388934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Female</a:t>
                </a:r>
                <a:r>
                  <a:rPr lang="en-US" baseline="0"/>
                  <a:t> mortality due to unsafe WASH (%)</a:t>
                </a:r>
                <a:endParaRPr lang="en-US"/>
              </a:p>
            </c:rich>
          </c:tx>
          <c:layout>
            <c:manualLayout>
              <c:xMode val="edge"/>
              <c:yMode val="edge"/>
              <c:x val="0.94612217074989968"/>
              <c:y val="0.277483848880741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3891744"/>
        <c:crosses val="max"/>
        <c:crossBetween val="between"/>
      </c:valAx>
      <c:catAx>
        <c:axId val="1053891744"/>
        <c:scaling>
          <c:orientation val="minMax"/>
        </c:scaling>
        <c:delete val="1"/>
        <c:axPos val="b"/>
        <c:numFmt formatCode="General" sourceLinked="1"/>
        <c:majorTickMark val="out"/>
        <c:minorTickMark val="none"/>
        <c:tickLblPos val="nextTo"/>
        <c:crossAx val="10538893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a:t>Primary responsibility for water collection in rural areas, by gender (%) in countries where at least one in 10 households have water off-premises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9156579308183506E-2"/>
          <c:y val="0.16737525846404477"/>
          <c:w val="0.87630774278215218"/>
          <c:h val="0.6714577865266842"/>
        </c:manualLayout>
      </c:layout>
      <c:barChart>
        <c:barDir val="col"/>
        <c:grouping val="stacked"/>
        <c:varyColors val="0"/>
        <c:ser>
          <c:idx val="0"/>
          <c:order val="0"/>
          <c:tx>
            <c:strRef>
              <c:f>G6_Fig23!$C$1</c:f>
              <c:strCache>
                <c:ptCount val="1"/>
                <c:pt idx="0">
                  <c:v>Female</c:v>
                </c:pt>
              </c:strCache>
            </c:strRef>
          </c:tx>
          <c:spPr>
            <a:solidFill>
              <a:schemeClr val="accent1"/>
            </a:solidFill>
            <a:ln>
              <a:noFill/>
            </a:ln>
            <a:effectLst/>
          </c:spPr>
          <c:invertIfNegative val="0"/>
          <c:dLbls>
            <c:dLbl>
              <c:idx val="0"/>
              <c:layout>
                <c:manualLayout>
                  <c:x val="1.990049751243781E-3"/>
                  <c:y val="-0.1980548187444739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07-48D2-818E-52AA473E25DC}"/>
                </c:ext>
              </c:extLst>
            </c:dLbl>
            <c:dLbl>
              <c:idx val="1"/>
              <c:layout>
                <c:manualLayout>
                  <c:x val="0"/>
                  <c:y val="-0.13439434129089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07-48D2-818E-52AA473E25DC}"/>
                </c:ext>
              </c:extLst>
            </c:dLbl>
            <c:dLbl>
              <c:idx val="2"/>
              <c:layout>
                <c:manualLayout>
                  <c:x val="3.9800995024874891E-3"/>
                  <c:y val="-0.1414677276746242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07-48D2-818E-52AA473E25DC}"/>
                </c:ext>
              </c:extLst>
            </c:dLbl>
            <c:dLbl>
              <c:idx val="3"/>
              <c:layout>
                <c:manualLayout>
                  <c:x val="-1.990049751243781E-3"/>
                  <c:y val="-7.780725022104333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07-48D2-818E-52AA473E25DC}"/>
                </c:ext>
              </c:extLst>
            </c:dLbl>
            <c:dLbl>
              <c:idx val="4"/>
              <c:layout>
                <c:manualLayout>
                  <c:x val="0"/>
                  <c:y val="-4.597701149425287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07-48D2-818E-52AA473E25D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G6_Fig23!$A$2:$A$6</c:f>
              <c:strCache>
                <c:ptCount val="5"/>
                <c:pt idx="0">
                  <c:v>Somalia</c:v>
                </c:pt>
                <c:pt idx="1">
                  <c:v>Yemen</c:v>
                </c:pt>
                <c:pt idx="2">
                  <c:v>Mauritania</c:v>
                </c:pt>
                <c:pt idx="3">
                  <c:v>Djibouti</c:v>
                </c:pt>
                <c:pt idx="4">
                  <c:v>Syrian Arab Republic</c:v>
                </c:pt>
              </c:strCache>
            </c:strRef>
          </c:cat>
          <c:val>
            <c:numRef>
              <c:f>G6_Fig23!$C$2:$C$6</c:f>
              <c:numCache>
                <c:formatCode>0%</c:formatCode>
                <c:ptCount val="5"/>
                <c:pt idx="0">
                  <c:v>0.61</c:v>
                </c:pt>
                <c:pt idx="1">
                  <c:v>0.42</c:v>
                </c:pt>
                <c:pt idx="2">
                  <c:v>0.41</c:v>
                </c:pt>
                <c:pt idx="3">
                  <c:v>0.15</c:v>
                </c:pt>
                <c:pt idx="4">
                  <c:v>0.03</c:v>
                </c:pt>
              </c:numCache>
            </c:numRef>
          </c:val>
          <c:extLst>
            <c:ext xmlns:c16="http://schemas.microsoft.com/office/drawing/2014/chart" uri="{C3380CC4-5D6E-409C-BE32-E72D297353CC}">
              <c16:uniqueId val="{00000005-4B07-48D2-818E-52AA473E25DC}"/>
            </c:ext>
          </c:extLst>
        </c:ser>
        <c:ser>
          <c:idx val="1"/>
          <c:order val="1"/>
          <c:tx>
            <c:strRef>
              <c:f>G6_Fig23!$D$1</c:f>
              <c:strCache>
                <c:ptCount val="1"/>
                <c:pt idx="0">
                  <c:v>Male</c:v>
                </c:pt>
              </c:strCache>
            </c:strRef>
          </c:tx>
          <c:spPr>
            <a:solidFill>
              <a:schemeClr val="accent2"/>
            </a:solidFill>
            <a:ln>
              <a:noFill/>
            </a:ln>
            <a:effectLst/>
          </c:spPr>
          <c:invertIfNegative val="0"/>
          <c:dLbls>
            <c:dLbl>
              <c:idx val="0"/>
              <c:layout>
                <c:manualLayout>
                  <c:x val="-5.0925337632079971E-17"/>
                  <c:y val="-8.3333333333333329E-2"/>
                </c:manualLayout>
              </c:layout>
              <c:tx>
                <c:rich>
                  <a:bodyPr/>
                  <a:lstStyle/>
                  <a:p>
                    <a:fld id="{F64454F3-286F-4C70-8214-0FF26C3209E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B07-48D2-818E-52AA473E25DC}"/>
                </c:ext>
              </c:extLst>
            </c:dLbl>
            <c:dLbl>
              <c:idx val="1"/>
              <c:layout>
                <c:manualLayout>
                  <c:x val="-2.7777777777777779E-3"/>
                  <c:y val="-6.4814450277048699E-2"/>
                </c:manualLayout>
              </c:layout>
              <c:tx>
                <c:rich>
                  <a:bodyPr/>
                  <a:lstStyle/>
                  <a:p>
                    <a:fld id="{938C7118-0C36-4A15-B95D-2541FFA2702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B07-48D2-818E-52AA473E25DC}"/>
                </c:ext>
              </c:extLst>
            </c:dLbl>
            <c:dLbl>
              <c:idx val="2"/>
              <c:layout>
                <c:manualLayout>
                  <c:x val="-1.0185067526415994E-16"/>
                  <c:y val="-8.3333333333333329E-2"/>
                </c:manualLayout>
              </c:layout>
              <c:tx>
                <c:rich>
                  <a:bodyPr/>
                  <a:lstStyle/>
                  <a:p>
                    <a:fld id="{E286A1DB-E23C-427F-9195-48C66C48328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4B07-48D2-818E-52AA473E25DC}"/>
                </c:ext>
              </c:extLst>
            </c:dLbl>
            <c:dLbl>
              <c:idx val="3"/>
              <c:layout>
                <c:manualLayout>
                  <c:x val="0"/>
                  <c:y val="-3.7037037037036952E-2"/>
                </c:manualLayout>
              </c:layout>
              <c:tx>
                <c:rich>
                  <a:bodyPr/>
                  <a:lstStyle/>
                  <a:p>
                    <a:fld id="{F97741D0-5A3B-4D12-8485-2661FBF8AF8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4B07-48D2-818E-52AA473E25DC}"/>
                </c:ext>
              </c:extLst>
            </c:dLbl>
            <c:dLbl>
              <c:idx val="4"/>
              <c:layout>
                <c:manualLayout>
                  <c:x val="-1.0185067526415994E-16"/>
                  <c:y val="-5.5555555555555552E-2"/>
                </c:manualLayout>
              </c:layout>
              <c:tx>
                <c:rich>
                  <a:bodyPr/>
                  <a:lstStyle/>
                  <a:p>
                    <a:fld id="{C51BA544-8A94-494D-A0F5-42B1EE7CB0C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4B07-48D2-818E-52AA473E25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G6_Fig23!$A$2:$A$6</c:f>
              <c:strCache>
                <c:ptCount val="5"/>
                <c:pt idx="0">
                  <c:v>Somalia</c:v>
                </c:pt>
                <c:pt idx="1">
                  <c:v>Yemen</c:v>
                </c:pt>
                <c:pt idx="2">
                  <c:v>Mauritania</c:v>
                </c:pt>
                <c:pt idx="3">
                  <c:v>Djibouti</c:v>
                </c:pt>
                <c:pt idx="4">
                  <c:v>Syrian Arab Republic</c:v>
                </c:pt>
              </c:strCache>
            </c:strRef>
          </c:cat>
          <c:val>
            <c:numRef>
              <c:f>G6_Fig23!$D$2:$D$6</c:f>
              <c:numCache>
                <c:formatCode>0%</c:formatCode>
                <c:ptCount val="5"/>
                <c:pt idx="0">
                  <c:v>-0.24</c:v>
                </c:pt>
                <c:pt idx="1">
                  <c:v>-0.09</c:v>
                </c:pt>
                <c:pt idx="2">
                  <c:v>-0.21</c:v>
                </c:pt>
                <c:pt idx="3">
                  <c:v>-0.02</c:v>
                </c:pt>
                <c:pt idx="4">
                  <c:v>-0.1</c:v>
                </c:pt>
              </c:numCache>
            </c:numRef>
          </c:val>
          <c:extLst>
            <c:ext xmlns:c15="http://schemas.microsoft.com/office/drawing/2012/chart" uri="{02D57815-91ED-43cb-92C2-25804820EDAC}">
              <c15:datalabelsRange>
                <c15:f>G6_Fig23!$B$2:$B$6</c15:f>
                <c15:dlblRangeCache>
                  <c:ptCount val="5"/>
                  <c:pt idx="0">
                    <c:v>24%</c:v>
                  </c:pt>
                  <c:pt idx="1">
                    <c:v>9%</c:v>
                  </c:pt>
                  <c:pt idx="2">
                    <c:v>21%</c:v>
                  </c:pt>
                  <c:pt idx="3">
                    <c:v>2%</c:v>
                  </c:pt>
                  <c:pt idx="4">
                    <c:v>10%</c:v>
                  </c:pt>
                </c15:dlblRangeCache>
              </c15:datalabelsRange>
            </c:ext>
            <c:ext xmlns:c16="http://schemas.microsoft.com/office/drawing/2014/chart" uri="{C3380CC4-5D6E-409C-BE32-E72D297353CC}">
              <c16:uniqueId val="{0000000B-4B07-48D2-818E-52AA473E25DC}"/>
            </c:ext>
          </c:extLst>
        </c:ser>
        <c:dLbls>
          <c:showLegendKey val="0"/>
          <c:showVal val="0"/>
          <c:showCatName val="0"/>
          <c:showSerName val="0"/>
          <c:showPercent val="0"/>
          <c:showBubbleSize val="0"/>
        </c:dLbls>
        <c:gapWidth val="150"/>
        <c:overlap val="100"/>
        <c:axId val="150567504"/>
        <c:axId val="150570384"/>
      </c:barChart>
      <c:catAx>
        <c:axId val="150567504"/>
        <c:scaling>
          <c:orientation val="minMax"/>
        </c:scaling>
        <c:delete val="1"/>
        <c:axPos val="b"/>
        <c:numFmt formatCode="General" sourceLinked="1"/>
        <c:majorTickMark val="out"/>
        <c:minorTickMark val="none"/>
        <c:tickLblPos val="nextTo"/>
        <c:crossAx val="150570384"/>
        <c:crosses val="autoZero"/>
        <c:auto val="1"/>
        <c:lblAlgn val="ctr"/>
        <c:lblOffset val="100"/>
        <c:noMultiLvlLbl val="0"/>
      </c:catAx>
      <c:valAx>
        <c:axId val="150570384"/>
        <c:scaling>
          <c:orientation val="minMax"/>
          <c:max val="1"/>
          <c:min val="-0.4"/>
        </c:scaling>
        <c:delete val="1"/>
        <c:axPos val="l"/>
        <c:numFmt formatCode="0%" sourceLinked="1"/>
        <c:majorTickMark val="none"/>
        <c:minorTickMark val="none"/>
        <c:tickLblPos val="nextTo"/>
        <c:crossAx val="150567504"/>
        <c:crosses val="autoZero"/>
        <c:crossBetween val="between"/>
        <c:minorUnit val="1.0000000000000002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900"/>
              <a:t>Share of firms with female top managers</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650299416770435E-2"/>
          <c:y val="0.16498433014261504"/>
          <c:w val="0.8269940116645913"/>
          <c:h val="0.67384441572712006"/>
        </c:manualLayout>
      </c:layout>
      <c:barChart>
        <c:barDir val="col"/>
        <c:grouping val="clustered"/>
        <c:varyColors val="0"/>
        <c:ser>
          <c:idx val="1"/>
          <c:order val="0"/>
          <c:tx>
            <c:strRef>
              <c:f>'Section I_Fig3'!$A$3</c:f>
              <c:strCache>
                <c:ptCount val="1"/>
                <c:pt idx="0">
                  <c:v>Latin America and Caribbean</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I_Fig3'!$H$1</c:f>
              <c:strCache>
                <c:ptCount val="1"/>
                <c:pt idx="0">
                  <c:v>Share of firms with female top managers</c:v>
                </c:pt>
              </c:strCache>
            </c:strRef>
          </c:cat>
          <c:val>
            <c:numRef>
              <c:f>'Section I_Fig3'!$H$3</c:f>
              <c:numCache>
                <c:formatCode>#0"%"</c:formatCode>
                <c:ptCount val="1"/>
                <c:pt idx="0">
                  <c:v>20.250000000000004</c:v>
                </c:pt>
              </c:numCache>
            </c:numRef>
          </c:val>
          <c:extLst>
            <c:ext xmlns:c16="http://schemas.microsoft.com/office/drawing/2014/chart" uri="{C3380CC4-5D6E-409C-BE32-E72D297353CC}">
              <c16:uniqueId val="{00000000-23E8-4058-8712-A004799D5587}"/>
            </c:ext>
          </c:extLst>
        </c:ser>
        <c:ser>
          <c:idx val="2"/>
          <c:order val="1"/>
          <c:tx>
            <c:strRef>
              <c:f>'Section I_Fig3'!$A$4</c:f>
              <c:strCache>
                <c:ptCount val="1"/>
                <c:pt idx="0">
                  <c:v>Europe and Central Asia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I_Fig3'!$H$1</c:f>
              <c:strCache>
                <c:ptCount val="1"/>
                <c:pt idx="0">
                  <c:v>Share of firms with female top managers</c:v>
                </c:pt>
              </c:strCache>
            </c:strRef>
          </c:cat>
          <c:val>
            <c:numRef>
              <c:f>'Section I_Fig3'!$H$4</c:f>
              <c:numCache>
                <c:formatCode>#0"%"</c:formatCode>
                <c:ptCount val="1"/>
                <c:pt idx="0">
                  <c:v>17.28409090909091</c:v>
                </c:pt>
              </c:numCache>
            </c:numRef>
          </c:val>
          <c:extLst>
            <c:ext xmlns:c16="http://schemas.microsoft.com/office/drawing/2014/chart" uri="{C3380CC4-5D6E-409C-BE32-E72D297353CC}">
              <c16:uniqueId val="{00000001-23E8-4058-8712-A004799D5587}"/>
            </c:ext>
          </c:extLst>
        </c:ser>
        <c:ser>
          <c:idx val="3"/>
          <c:order val="2"/>
          <c:tx>
            <c:strRef>
              <c:f>'Section I_Fig3'!$A$5</c:f>
              <c:strCache>
                <c:ptCount val="1"/>
                <c:pt idx="0">
                  <c:v>East Asia and Pacific</c:v>
                </c:pt>
              </c:strCache>
            </c:strRef>
          </c:tx>
          <c:spPr>
            <a:solidFill>
              <a:srgbClr val="A6A6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I_Fig3'!$H$1</c:f>
              <c:strCache>
                <c:ptCount val="1"/>
                <c:pt idx="0">
                  <c:v>Share of firms with female top managers</c:v>
                </c:pt>
              </c:strCache>
            </c:strRef>
          </c:cat>
          <c:val>
            <c:numRef>
              <c:f>'Section I_Fig3'!$H$5</c:f>
              <c:numCache>
                <c:formatCode>#0"%"</c:formatCode>
                <c:ptCount val="1"/>
                <c:pt idx="0">
                  <c:v>34.788235294117641</c:v>
                </c:pt>
              </c:numCache>
            </c:numRef>
          </c:val>
          <c:extLst>
            <c:ext xmlns:c16="http://schemas.microsoft.com/office/drawing/2014/chart" uri="{C3380CC4-5D6E-409C-BE32-E72D297353CC}">
              <c16:uniqueId val="{00000002-23E8-4058-8712-A004799D5587}"/>
            </c:ext>
          </c:extLst>
        </c:ser>
        <c:ser>
          <c:idx val="4"/>
          <c:order val="3"/>
          <c:tx>
            <c:strRef>
              <c:f>'Section I_Fig3'!$A$6</c:f>
              <c:strCache>
                <c:ptCount val="1"/>
                <c:pt idx="0">
                  <c:v>Sub-Saharan Africa</c:v>
                </c:pt>
              </c:strCache>
            </c:strRef>
          </c:tx>
          <c:spPr>
            <a:solidFill>
              <a:srgbClr val="FFFF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I_Fig3'!$H$1</c:f>
              <c:strCache>
                <c:ptCount val="1"/>
                <c:pt idx="0">
                  <c:v>Share of firms with female top managers</c:v>
                </c:pt>
              </c:strCache>
            </c:strRef>
          </c:cat>
          <c:val>
            <c:numRef>
              <c:f>'Section I_Fig3'!$H$6</c:f>
              <c:numCache>
                <c:formatCode>#0"%"</c:formatCode>
                <c:ptCount val="1"/>
                <c:pt idx="0">
                  <c:v>17.102857142857143</c:v>
                </c:pt>
              </c:numCache>
            </c:numRef>
          </c:val>
          <c:extLst>
            <c:ext xmlns:c16="http://schemas.microsoft.com/office/drawing/2014/chart" uri="{C3380CC4-5D6E-409C-BE32-E72D297353CC}">
              <c16:uniqueId val="{00000003-23E8-4058-8712-A004799D5587}"/>
            </c:ext>
          </c:extLst>
        </c:ser>
        <c:ser>
          <c:idx val="5"/>
          <c:order val="4"/>
          <c:tx>
            <c:strRef>
              <c:f>'Section I_Fig3'!$A$7</c:f>
              <c:strCache>
                <c:ptCount val="1"/>
                <c:pt idx="0">
                  <c:v>South Asia</c:v>
                </c:pt>
              </c:strCache>
            </c:strRef>
          </c:tx>
          <c:spPr>
            <a:solidFill>
              <a:srgbClr val="4E95D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I_Fig3'!$H$1</c:f>
              <c:strCache>
                <c:ptCount val="1"/>
                <c:pt idx="0">
                  <c:v>Share of firms with female top managers</c:v>
                </c:pt>
              </c:strCache>
            </c:strRef>
          </c:cat>
          <c:val>
            <c:numRef>
              <c:f>'Section I_Fig3'!$H$7</c:f>
              <c:numCache>
                <c:formatCode>#0"%"</c:formatCode>
                <c:ptCount val="1"/>
                <c:pt idx="0">
                  <c:v>9.1833333333333336</c:v>
                </c:pt>
              </c:numCache>
            </c:numRef>
          </c:val>
          <c:extLst>
            <c:ext xmlns:c16="http://schemas.microsoft.com/office/drawing/2014/chart" uri="{C3380CC4-5D6E-409C-BE32-E72D297353CC}">
              <c16:uniqueId val="{00000004-23E8-4058-8712-A004799D5587}"/>
            </c:ext>
          </c:extLst>
        </c:ser>
        <c:ser>
          <c:idx val="6"/>
          <c:order val="5"/>
          <c:tx>
            <c:strRef>
              <c:f>'Section I_Fig3'!$A$8</c:f>
              <c:strCache>
                <c:ptCount val="1"/>
                <c:pt idx="0">
                  <c:v>Arab Region</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I_Fig3'!$H$1</c:f>
              <c:strCache>
                <c:ptCount val="1"/>
                <c:pt idx="0">
                  <c:v>Share of firms with female top managers</c:v>
                </c:pt>
              </c:strCache>
            </c:strRef>
          </c:cat>
          <c:val>
            <c:numRef>
              <c:f>'Section I_Fig3'!$H$8</c:f>
              <c:numCache>
                <c:formatCode>#0"%"</c:formatCode>
                <c:ptCount val="1"/>
                <c:pt idx="0">
                  <c:v>3.6</c:v>
                </c:pt>
              </c:numCache>
            </c:numRef>
          </c:val>
          <c:extLst>
            <c:ext xmlns:c16="http://schemas.microsoft.com/office/drawing/2014/chart" uri="{C3380CC4-5D6E-409C-BE32-E72D297353CC}">
              <c16:uniqueId val="{00000005-23E8-4058-8712-A004799D5587}"/>
            </c:ext>
          </c:extLst>
        </c:ser>
        <c:dLbls>
          <c:dLblPos val="outEnd"/>
          <c:showLegendKey val="0"/>
          <c:showVal val="1"/>
          <c:showCatName val="0"/>
          <c:showSerName val="0"/>
          <c:showPercent val="0"/>
          <c:showBubbleSize val="0"/>
        </c:dLbls>
        <c:gapWidth val="11"/>
        <c:axId val="1332308511"/>
        <c:axId val="1332309471"/>
        <c:extLst/>
      </c:barChart>
      <c:catAx>
        <c:axId val="1332308511"/>
        <c:scaling>
          <c:orientation val="minMax"/>
        </c:scaling>
        <c:delete val="1"/>
        <c:axPos val="b"/>
        <c:numFmt formatCode="General" sourceLinked="1"/>
        <c:majorTickMark val="none"/>
        <c:minorTickMark val="none"/>
        <c:tickLblPos val="nextTo"/>
        <c:crossAx val="1332309471"/>
        <c:crosses val="autoZero"/>
        <c:auto val="1"/>
        <c:lblAlgn val="ctr"/>
        <c:lblOffset val="100"/>
        <c:noMultiLvlLbl val="0"/>
      </c:catAx>
      <c:valAx>
        <c:axId val="1332309471"/>
        <c:scaling>
          <c:orientation val="minMax"/>
        </c:scaling>
        <c:delete val="1"/>
        <c:axPos val="l"/>
        <c:numFmt formatCode="#0&quot;%&quot;" sourceLinked="1"/>
        <c:majorTickMark val="none"/>
        <c:minorTickMark val="none"/>
        <c:tickLblPos val="nextTo"/>
        <c:crossAx val="133230851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86511031745835"/>
          <c:y val="4.5738045738045741E-2"/>
          <c:w val="0.7222697793650833"/>
          <c:h val="0.41694795946764451"/>
        </c:manualLayout>
      </c:layout>
      <c:barChart>
        <c:barDir val="col"/>
        <c:grouping val="clustered"/>
        <c:varyColors val="0"/>
        <c:ser>
          <c:idx val="0"/>
          <c:order val="0"/>
          <c:tx>
            <c:strRef>
              <c:f>G7_Fig24!$B$1</c:f>
              <c:strCache>
                <c:ptCount val="1"/>
                <c:pt idx="0">
                  <c:v>Age-standardized mortality rate attributed to household and ambient air pollution (PER_100000_POP)</c:v>
                </c:pt>
              </c:strCache>
            </c:strRef>
          </c:tx>
          <c:spPr>
            <a:solidFill>
              <a:schemeClr val="accent1"/>
            </a:solidFill>
            <a:ln>
              <a:noFill/>
            </a:ln>
            <a:effectLst/>
          </c:spPr>
          <c:invertIfNegative val="0"/>
          <c:cat>
            <c:strRef>
              <c:f>G7_Fig24!$A$2:$A$23</c:f>
              <c:strCache>
                <c:ptCount val="22"/>
                <c:pt idx="0">
                  <c:v>Kuwait</c:v>
                </c:pt>
                <c:pt idx="1">
                  <c:v>Jordan</c:v>
                </c:pt>
                <c:pt idx="2">
                  <c:v>Lebanon</c:v>
                </c:pt>
                <c:pt idx="3">
                  <c:v>Algeria</c:v>
                </c:pt>
                <c:pt idx="4">
                  <c:v>Tunisia</c:v>
                </c:pt>
                <c:pt idx="5">
                  <c:v>Libya</c:v>
                </c:pt>
                <c:pt idx="6">
                  <c:v>United Arab Emirates</c:v>
                </c:pt>
                <c:pt idx="7">
                  <c:v>Bahrain</c:v>
                </c:pt>
                <c:pt idx="8">
                  <c:v>Morocco</c:v>
                </c:pt>
                <c:pt idx="9">
                  <c:v>Iraq</c:v>
                </c:pt>
                <c:pt idx="10">
                  <c:v>Saudi Arabia</c:v>
                </c:pt>
                <c:pt idx="11">
                  <c:v>Syria</c:v>
                </c:pt>
                <c:pt idx="12">
                  <c:v>Egypt</c:v>
                </c:pt>
                <c:pt idx="13">
                  <c:v>Oman</c:v>
                </c:pt>
                <c:pt idx="14">
                  <c:v>Qatar</c:v>
                </c:pt>
                <c:pt idx="15">
                  <c:v>Mauritania</c:v>
                </c:pt>
                <c:pt idx="16">
                  <c:v>Sudan</c:v>
                </c:pt>
                <c:pt idx="17">
                  <c:v>Comoros</c:v>
                </c:pt>
                <c:pt idx="18">
                  <c:v>Djibouti</c:v>
                </c:pt>
                <c:pt idx="19">
                  <c:v>Yemen</c:v>
                </c:pt>
                <c:pt idx="20">
                  <c:v>Somalia</c:v>
                </c:pt>
                <c:pt idx="21">
                  <c:v>Arab region</c:v>
                </c:pt>
              </c:strCache>
            </c:strRef>
          </c:cat>
          <c:val>
            <c:numRef>
              <c:f>G7_Fig24!$B$2:$B$23</c:f>
              <c:numCache>
                <c:formatCode>0</c:formatCode>
                <c:ptCount val="22"/>
                <c:pt idx="0">
                  <c:v>22.73</c:v>
                </c:pt>
                <c:pt idx="1">
                  <c:v>34.71</c:v>
                </c:pt>
                <c:pt idx="2">
                  <c:v>41.52</c:v>
                </c:pt>
                <c:pt idx="3">
                  <c:v>44.99</c:v>
                </c:pt>
                <c:pt idx="4">
                  <c:v>45.38</c:v>
                </c:pt>
                <c:pt idx="5">
                  <c:v>49.31</c:v>
                </c:pt>
                <c:pt idx="6">
                  <c:v>50.32</c:v>
                </c:pt>
                <c:pt idx="7">
                  <c:v>59.96</c:v>
                </c:pt>
                <c:pt idx="8">
                  <c:v>60.34</c:v>
                </c:pt>
                <c:pt idx="9">
                  <c:v>75.239999999999995</c:v>
                </c:pt>
                <c:pt idx="10">
                  <c:v>80.39</c:v>
                </c:pt>
                <c:pt idx="11">
                  <c:v>87.68</c:v>
                </c:pt>
                <c:pt idx="12">
                  <c:v>87.93</c:v>
                </c:pt>
                <c:pt idx="13">
                  <c:v>94.05</c:v>
                </c:pt>
                <c:pt idx="14">
                  <c:v>106.84</c:v>
                </c:pt>
                <c:pt idx="15">
                  <c:v>133.1</c:v>
                </c:pt>
                <c:pt idx="16">
                  <c:v>135.35</c:v>
                </c:pt>
                <c:pt idx="17">
                  <c:v>155.16</c:v>
                </c:pt>
                <c:pt idx="18">
                  <c:v>157.21</c:v>
                </c:pt>
                <c:pt idx="19">
                  <c:v>166.79</c:v>
                </c:pt>
                <c:pt idx="20">
                  <c:v>188.59</c:v>
                </c:pt>
                <c:pt idx="21">
                  <c:v>91</c:v>
                </c:pt>
              </c:numCache>
            </c:numRef>
          </c:val>
          <c:extLst>
            <c:ext xmlns:c16="http://schemas.microsoft.com/office/drawing/2014/chart" uri="{C3380CC4-5D6E-409C-BE32-E72D297353CC}">
              <c16:uniqueId val="{00000000-08B5-4C74-917D-7FEB3A21A04B}"/>
            </c:ext>
          </c:extLst>
        </c:ser>
        <c:dLbls>
          <c:showLegendKey val="0"/>
          <c:showVal val="0"/>
          <c:showCatName val="0"/>
          <c:showSerName val="0"/>
          <c:showPercent val="0"/>
          <c:showBubbleSize val="0"/>
        </c:dLbls>
        <c:gapWidth val="219"/>
        <c:overlap val="-27"/>
        <c:axId val="1542487040"/>
        <c:axId val="1542494720"/>
      </c:barChart>
      <c:scatterChart>
        <c:scatterStyle val="lineMarker"/>
        <c:varyColors val="0"/>
        <c:ser>
          <c:idx val="1"/>
          <c:order val="1"/>
          <c:tx>
            <c:strRef>
              <c:f>G7_Fig24!$C$1</c:f>
              <c:strCache>
                <c:ptCount val="1"/>
                <c:pt idx="0">
                  <c:v>Proportion of population with primary reliance on clean fuels and technology (%)</c:v>
                </c:pt>
              </c:strCache>
            </c:strRef>
          </c:tx>
          <c:spPr>
            <a:ln w="25400" cap="rnd">
              <a:noFill/>
              <a:round/>
            </a:ln>
            <a:effectLst/>
          </c:spPr>
          <c:marker>
            <c:symbol val="circle"/>
            <c:size val="5"/>
            <c:spPr>
              <a:solidFill>
                <a:schemeClr val="accent2"/>
              </a:solidFill>
              <a:ln w="9525">
                <a:solidFill>
                  <a:schemeClr val="accent2"/>
                </a:solidFill>
              </a:ln>
              <a:effectLst/>
            </c:spPr>
          </c:marker>
          <c:xVal>
            <c:strRef>
              <c:f>G7_Fig24!$A$2:$A$23</c:f>
              <c:strCache>
                <c:ptCount val="22"/>
                <c:pt idx="0">
                  <c:v>Kuwait</c:v>
                </c:pt>
                <c:pt idx="1">
                  <c:v>Jordan</c:v>
                </c:pt>
                <c:pt idx="2">
                  <c:v>Lebanon</c:v>
                </c:pt>
                <c:pt idx="3">
                  <c:v>Algeria</c:v>
                </c:pt>
                <c:pt idx="4">
                  <c:v>Tunisia</c:v>
                </c:pt>
                <c:pt idx="5">
                  <c:v>Libya</c:v>
                </c:pt>
                <c:pt idx="6">
                  <c:v>United Arab Emirates</c:v>
                </c:pt>
                <c:pt idx="7">
                  <c:v>Bahrain</c:v>
                </c:pt>
                <c:pt idx="8">
                  <c:v>Morocco</c:v>
                </c:pt>
                <c:pt idx="9">
                  <c:v>Iraq</c:v>
                </c:pt>
                <c:pt idx="10">
                  <c:v>Saudi Arabia</c:v>
                </c:pt>
                <c:pt idx="11">
                  <c:v>Syria</c:v>
                </c:pt>
                <c:pt idx="12">
                  <c:v>Egypt</c:v>
                </c:pt>
                <c:pt idx="13">
                  <c:v>Oman</c:v>
                </c:pt>
                <c:pt idx="14">
                  <c:v>Qatar</c:v>
                </c:pt>
                <c:pt idx="15">
                  <c:v>Mauritania</c:v>
                </c:pt>
                <c:pt idx="16">
                  <c:v>Sudan</c:v>
                </c:pt>
                <c:pt idx="17">
                  <c:v>Comoros</c:v>
                </c:pt>
                <c:pt idx="18">
                  <c:v>Djibouti</c:v>
                </c:pt>
                <c:pt idx="19">
                  <c:v>Yemen</c:v>
                </c:pt>
                <c:pt idx="20">
                  <c:v>Somalia</c:v>
                </c:pt>
                <c:pt idx="21">
                  <c:v>Arab region</c:v>
                </c:pt>
              </c:strCache>
            </c:strRef>
          </c:xVal>
          <c:yVal>
            <c:numRef>
              <c:f>G7_Fig24!$C$2:$C$23</c:f>
              <c:numCache>
                <c:formatCode>0</c:formatCode>
                <c:ptCount val="22"/>
                <c:pt idx="0">
                  <c:v>100</c:v>
                </c:pt>
                <c:pt idx="1">
                  <c:v>99.3</c:v>
                </c:pt>
                <c:pt idx="3">
                  <c:v>98.9</c:v>
                </c:pt>
                <c:pt idx="4">
                  <c:v>99.7</c:v>
                </c:pt>
                <c:pt idx="6">
                  <c:v>100</c:v>
                </c:pt>
                <c:pt idx="7">
                  <c:v>100</c:v>
                </c:pt>
                <c:pt idx="8">
                  <c:v>97.5</c:v>
                </c:pt>
                <c:pt idx="9">
                  <c:v>99.3</c:v>
                </c:pt>
                <c:pt idx="10">
                  <c:v>100</c:v>
                </c:pt>
                <c:pt idx="11">
                  <c:v>91.1</c:v>
                </c:pt>
                <c:pt idx="12">
                  <c:v>99.9</c:v>
                </c:pt>
                <c:pt idx="13">
                  <c:v>100</c:v>
                </c:pt>
                <c:pt idx="14">
                  <c:v>100</c:v>
                </c:pt>
                <c:pt idx="15">
                  <c:v>20.100000000000001</c:v>
                </c:pt>
                <c:pt idx="16">
                  <c:v>59.1</c:v>
                </c:pt>
                <c:pt idx="17">
                  <c:v>5.5</c:v>
                </c:pt>
                <c:pt idx="18">
                  <c:v>0.2</c:v>
                </c:pt>
                <c:pt idx="19">
                  <c:v>26.3</c:v>
                </c:pt>
                <c:pt idx="20">
                  <c:v>0.4</c:v>
                </c:pt>
                <c:pt idx="21">
                  <c:v>77.099999999999994</c:v>
                </c:pt>
              </c:numCache>
            </c:numRef>
          </c:yVal>
          <c:smooth val="0"/>
          <c:extLst>
            <c:ext xmlns:c16="http://schemas.microsoft.com/office/drawing/2014/chart" uri="{C3380CC4-5D6E-409C-BE32-E72D297353CC}">
              <c16:uniqueId val="{00000001-08B5-4C74-917D-7FEB3A21A04B}"/>
            </c:ext>
          </c:extLst>
        </c:ser>
        <c:dLbls>
          <c:showLegendKey val="0"/>
          <c:showVal val="0"/>
          <c:showCatName val="0"/>
          <c:showSerName val="0"/>
          <c:showPercent val="0"/>
          <c:showBubbleSize val="0"/>
        </c:dLbls>
        <c:axId val="1542489440"/>
        <c:axId val="1542486080"/>
      </c:scatterChart>
      <c:catAx>
        <c:axId val="1542487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2494720"/>
        <c:crosses val="autoZero"/>
        <c:auto val="1"/>
        <c:lblAlgn val="ctr"/>
        <c:lblOffset val="100"/>
        <c:noMultiLvlLbl val="0"/>
      </c:catAx>
      <c:valAx>
        <c:axId val="154249472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Female mortality rate (100000_POP)</a:t>
                </a:r>
              </a:p>
            </c:rich>
          </c:tx>
          <c:layout>
            <c:manualLayout>
              <c:xMode val="edge"/>
              <c:yMode val="edge"/>
              <c:x val="2.4677505455724811E-2"/>
              <c:y val="3.742203742203742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2487040"/>
        <c:crosses val="autoZero"/>
        <c:crossBetween val="between"/>
      </c:valAx>
      <c:valAx>
        <c:axId val="1542486080"/>
        <c:scaling>
          <c:orientation val="minMax"/>
          <c:max val="1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Use</a:t>
                </a:r>
                <a:r>
                  <a:rPr lang="en-US" baseline="0"/>
                  <a:t> of </a:t>
                </a:r>
                <a:r>
                  <a:rPr lang="en-US"/>
                  <a:t>clean fuels and technology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2489440"/>
        <c:crosses val="max"/>
        <c:crossBetween val="midCat"/>
      </c:valAx>
      <c:valAx>
        <c:axId val="1542489440"/>
        <c:scaling>
          <c:orientation val="minMax"/>
        </c:scaling>
        <c:delete val="1"/>
        <c:axPos val="t"/>
        <c:majorTickMark val="out"/>
        <c:minorTickMark val="none"/>
        <c:tickLblPos val="nextTo"/>
        <c:crossAx val="1542486080"/>
        <c:crosses val="max"/>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G7_Fig25!$B$1</c:f>
              <c:strCache>
                <c:ptCount val="1"/>
                <c:pt idx="0">
                  <c:v>Population with access to electricity (%)</c:v>
                </c:pt>
              </c:strCache>
            </c:strRef>
          </c:tx>
          <c:spPr>
            <a:solidFill>
              <a:schemeClr val="accent1"/>
            </a:solidFill>
            <a:ln>
              <a:noFill/>
            </a:ln>
            <a:effectLst/>
          </c:spPr>
          <c:invertIfNegative val="0"/>
          <c:cat>
            <c:strRef>
              <c:f>G7_Fig25!$A$2:$A$25</c:f>
              <c:strCache>
                <c:ptCount val="24"/>
                <c:pt idx="0">
                  <c:v>Qatar</c:v>
                </c:pt>
                <c:pt idx="1">
                  <c:v>Oman</c:v>
                </c:pt>
                <c:pt idx="2">
                  <c:v>United Arab Emirates</c:v>
                </c:pt>
                <c:pt idx="3">
                  <c:v>Jordan</c:v>
                </c:pt>
                <c:pt idx="4">
                  <c:v>Saudi Arabia</c:v>
                </c:pt>
                <c:pt idx="5">
                  <c:v>Palestine</c:v>
                </c:pt>
                <c:pt idx="6">
                  <c:v>Tunisia</c:v>
                </c:pt>
                <c:pt idx="7">
                  <c:v>Kuwait</c:v>
                </c:pt>
                <c:pt idx="8">
                  <c:v>Bahrain</c:v>
                </c:pt>
                <c:pt idx="9">
                  <c:v>Lebanon</c:v>
                </c:pt>
                <c:pt idx="10">
                  <c:v>Egypt</c:v>
                </c:pt>
                <c:pt idx="11">
                  <c:v>Iraq</c:v>
                </c:pt>
                <c:pt idx="12">
                  <c:v>Morocco</c:v>
                </c:pt>
                <c:pt idx="13">
                  <c:v>Algeria</c:v>
                </c:pt>
                <c:pt idx="14">
                  <c:v>Comoros</c:v>
                </c:pt>
                <c:pt idx="15">
                  <c:v>Syria</c:v>
                </c:pt>
                <c:pt idx="16">
                  <c:v>Yemen</c:v>
                </c:pt>
                <c:pt idx="17">
                  <c:v>Libya</c:v>
                </c:pt>
                <c:pt idx="18">
                  <c:v>Djibouti</c:v>
                </c:pt>
                <c:pt idx="19">
                  <c:v>Sudan</c:v>
                </c:pt>
                <c:pt idx="20">
                  <c:v>Mauritania</c:v>
                </c:pt>
                <c:pt idx="21">
                  <c:v>Somalia</c:v>
                </c:pt>
                <c:pt idx="22">
                  <c:v>Arab Region</c:v>
                </c:pt>
                <c:pt idx="23">
                  <c:v>World</c:v>
                </c:pt>
              </c:strCache>
            </c:strRef>
          </c:cat>
          <c:val>
            <c:numRef>
              <c:f>G7_Fig25!$B$2:$B$25</c:f>
              <c:numCache>
                <c:formatCode>0</c:formatCode>
                <c:ptCount val="2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99.8</c:v>
                </c:pt>
                <c:pt idx="14">
                  <c:v>89.9</c:v>
                </c:pt>
                <c:pt idx="15">
                  <c:v>89</c:v>
                </c:pt>
                <c:pt idx="16">
                  <c:v>76</c:v>
                </c:pt>
                <c:pt idx="17">
                  <c:v>70</c:v>
                </c:pt>
                <c:pt idx="18">
                  <c:v>65</c:v>
                </c:pt>
                <c:pt idx="19">
                  <c:v>63.2</c:v>
                </c:pt>
                <c:pt idx="20">
                  <c:v>49</c:v>
                </c:pt>
                <c:pt idx="21">
                  <c:v>48.9</c:v>
                </c:pt>
                <c:pt idx="22">
                  <c:v>91</c:v>
                </c:pt>
                <c:pt idx="23">
                  <c:v>91.4</c:v>
                </c:pt>
              </c:numCache>
            </c:numRef>
          </c:val>
          <c:extLst>
            <c:ext xmlns:c16="http://schemas.microsoft.com/office/drawing/2014/chart" uri="{C3380CC4-5D6E-409C-BE32-E72D297353CC}">
              <c16:uniqueId val="{00000000-8B51-4287-AEF5-96B40C3A867D}"/>
            </c:ext>
          </c:extLst>
        </c:ser>
        <c:dLbls>
          <c:showLegendKey val="0"/>
          <c:showVal val="0"/>
          <c:showCatName val="0"/>
          <c:showSerName val="0"/>
          <c:showPercent val="0"/>
          <c:showBubbleSize val="0"/>
        </c:dLbls>
        <c:gapWidth val="219"/>
        <c:overlap val="-27"/>
        <c:axId val="1200578016"/>
        <c:axId val="1200572736"/>
      </c:barChart>
      <c:scatterChart>
        <c:scatterStyle val="lineMarker"/>
        <c:varyColors val="0"/>
        <c:ser>
          <c:idx val="1"/>
          <c:order val="1"/>
          <c:tx>
            <c:strRef>
              <c:f>G7_Fig25!$C$1</c:f>
              <c:strCache>
                <c:ptCount val="1"/>
                <c:pt idx="0">
                  <c:v>Maternal mortality ratio (PER_100,000_LIVE_BIRTHS)</c:v>
                </c:pt>
              </c:strCache>
            </c:strRef>
          </c:tx>
          <c:spPr>
            <a:ln w="25400" cap="rnd">
              <a:noFill/>
              <a:round/>
            </a:ln>
            <a:effectLst/>
          </c:spPr>
          <c:marker>
            <c:symbol val="circle"/>
            <c:size val="5"/>
            <c:spPr>
              <a:solidFill>
                <a:schemeClr val="accent2"/>
              </a:solidFill>
              <a:ln w="9525">
                <a:solidFill>
                  <a:schemeClr val="accent2"/>
                </a:solidFill>
              </a:ln>
              <a:effectLst/>
            </c:spPr>
          </c:marker>
          <c:xVal>
            <c:strRef>
              <c:f>G7_Fig25!$A$2:$A$25</c:f>
              <c:strCache>
                <c:ptCount val="24"/>
                <c:pt idx="0">
                  <c:v>Qatar</c:v>
                </c:pt>
                <c:pt idx="1">
                  <c:v>Oman</c:v>
                </c:pt>
                <c:pt idx="2">
                  <c:v>United Arab Emirates</c:v>
                </c:pt>
                <c:pt idx="3">
                  <c:v>Jordan</c:v>
                </c:pt>
                <c:pt idx="4">
                  <c:v>Saudi Arabia</c:v>
                </c:pt>
                <c:pt idx="5">
                  <c:v>Palestine</c:v>
                </c:pt>
                <c:pt idx="6">
                  <c:v>Tunisia</c:v>
                </c:pt>
                <c:pt idx="7">
                  <c:v>Kuwait</c:v>
                </c:pt>
                <c:pt idx="8">
                  <c:v>Bahrain</c:v>
                </c:pt>
                <c:pt idx="9">
                  <c:v>Lebanon</c:v>
                </c:pt>
                <c:pt idx="10">
                  <c:v>Egypt</c:v>
                </c:pt>
                <c:pt idx="11">
                  <c:v>Iraq</c:v>
                </c:pt>
                <c:pt idx="12">
                  <c:v>Morocco</c:v>
                </c:pt>
                <c:pt idx="13">
                  <c:v>Algeria</c:v>
                </c:pt>
                <c:pt idx="14">
                  <c:v>Comoros</c:v>
                </c:pt>
                <c:pt idx="15">
                  <c:v>Syria</c:v>
                </c:pt>
                <c:pt idx="16">
                  <c:v>Yemen</c:v>
                </c:pt>
                <c:pt idx="17">
                  <c:v>Libya</c:v>
                </c:pt>
                <c:pt idx="18">
                  <c:v>Djibouti</c:v>
                </c:pt>
                <c:pt idx="19">
                  <c:v>Sudan</c:v>
                </c:pt>
                <c:pt idx="20">
                  <c:v>Mauritania</c:v>
                </c:pt>
                <c:pt idx="21">
                  <c:v>Somalia</c:v>
                </c:pt>
                <c:pt idx="22">
                  <c:v>Arab Region</c:v>
                </c:pt>
                <c:pt idx="23">
                  <c:v>World</c:v>
                </c:pt>
              </c:strCache>
            </c:strRef>
          </c:xVal>
          <c:yVal>
            <c:numRef>
              <c:f>G7_Fig25!$C$2:$C$25</c:f>
              <c:numCache>
                <c:formatCode>0</c:formatCode>
                <c:ptCount val="24"/>
                <c:pt idx="0">
                  <c:v>7.6054300000000001</c:v>
                </c:pt>
                <c:pt idx="1">
                  <c:v>17.006710000000002</c:v>
                </c:pt>
                <c:pt idx="2">
                  <c:v>9.3407</c:v>
                </c:pt>
                <c:pt idx="3">
                  <c:v>41.314790000000002</c:v>
                </c:pt>
                <c:pt idx="4">
                  <c:v>16.203759999999999</c:v>
                </c:pt>
                <c:pt idx="5">
                  <c:v>20.43431</c:v>
                </c:pt>
                <c:pt idx="6">
                  <c:v>36.625579999999999</c:v>
                </c:pt>
                <c:pt idx="7">
                  <c:v>7.1708999999999996</c:v>
                </c:pt>
                <c:pt idx="8">
                  <c:v>15.897880000000001</c:v>
                </c:pt>
                <c:pt idx="9">
                  <c:v>20.62462</c:v>
                </c:pt>
                <c:pt idx="10">
                  <c:v>16.819710000000001</c:v>
                </c:pt>
                <c:pt idx="11">
                  <c:v>76.110460000000003</c:v>
                </c:pt>
                <c:pt idx="12">
                  <c:v>71.851849999999999</c:v>
                </c:pt>
                <c:pt idx="13">
                  <c:v>77.694789999999998</c:v>
                </c:pt>
                <c:pt idx="14">
                  <c:v>216.95373000000001</c:v>
                </c:pt>
                <c:pt idx="15">
                  <c:v>29.91733</c:v>
                </c:pt>
                <c:pt idx="16">
                  <c:v>183.39972</c:v>
                </c:pt>
                <c:pt idx="17">
                  <c:v>72.127099999999999</c:v>
                </c:pt>
                <c:pt idx="18">
                  <c:v>234.49007</c:v>
                </c:pt>
                <c:pt idx="19">
                  <c:v>270.35534999999999</c:v>
                </c:pt>
                <c:pt idx="20">
                  <c:v>463.83210000000003</c:v>
                </c:pt>
                <c:pt idx="21">
                  <c:v>620.68232</c:v>
                </c:pt>
                <c:pt idx="22">
                  <c:v>139.25069999999999</c:v>
                </c:pt>
                <c:pt idx="23">
                  <c:v>223.5</c:v>
                </c:pt>
              </c:numCache>
            </c:numRef>
          </c:yVal>
          <c:smooth val="0"/>
          <c:extLst>
            <c:ext xmlns:c16="http://schemas.microsoft.com/office/drawing/2014/chart" uri="{C3380CC4-5D6E-409C-BE32-E72D297353CC}">
              <c16:uniqueId val="{00000001-8B51-4287-AEF5-96B40C3A867D}"/>
            </c:ext>
          </c:extLst>
        </c:ser>
        <c:dLbls>
          <c:showLegendKey val="0"/>
          <c:showVal val="0"/>
          <c:showCatName val="0"/>
          <c:showSerName val="0"/>
          <c:showPercent val="0"/>
          <c:showBubbleSize val="0"/>
        </c:dLbls>
        <c:axId val="964136096"/>
        <c:axId val="1200576096"/>
      </c:scatterChart>
      <c:catAx>
        <c:axId val="1200578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0572736"/>
        <c:crosses val="autoZero"/>
        <c:auto val="1"/>
        <c:lblAlgn val="ctr"/>
        <c:lblOffset val="100"/>
        <c:noMultiLvlLbl val="0"/>
      </c:catAx>
      <c:valAx>
        <c:axId val="1200572736"/>
        <c:scaling>
          <c:orientation val="minMax"/>
          <c:max val="1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Access to electricity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0578016"/>
        <c:crosses val="autoZero"/>
        <c:crossBetween val="between"/>
      </c:valAx>
      <c:valAx>
        <c:axId val="120057609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MMR (PER_100,000_LIVE_BIRTHS)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4136096"/>
        <c:crosses val="max"/>
        <c:crossBetween val="midCat"/>
      </c:valAx>
      <c:valAx>
        <c:axId val="964136096"/>
        <c:scaling>
          <c:orientation val="minMax"/>
        </c:scaling>
        <c:delete val="1"/>
        <c:axPos val="t"/>
        <c:majorTickMark val="out"/>
        <c:minorTickMark val="none"/>
        <c:tickLblPos val="nextTo"/>
        <c:crossAx val="1200576096"/>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US" sz="1050">
                <a:effectLst/>
              </a:rPr>
              <a:t>Adult unemployment rate (15+ years), 2023 (%)</a:t>
            </a: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'G8_Fig26&amp;27'!$B$2</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'G8_Fig26&amp;27'!$A$3:$A$8</c:f>
              <c:strCache>
                <c:ptCount val="6"/>
                <c:pt idx="0">
                  <c:v>Arab LDC</c:v>
                </c:pt>
                <c:pt idx="1">
                  <c:v>Arab Maghreb</c:v>
                </c:pt>
                <c:pt idx="2">
                  <c:v>Arab Region</c:v>
                </c:pt>
                <c:pt idx="3">
                  <c:v>Arab Mashreq</c:v>
                </c:pt>
                <c:pt idx="4">
                  <c:v>Arab GCC</c:v>
                </c:pt>
                <c:pt idx="5">
                  <c:v>World</c:v>
                </c:pt>
              </c:strCache>
            </c:strRef>
          </c:cat>
          <c:val>
            <c:numRef>
              <c:f>'G8_Fig26&amp;27'!$B$3:$B$8</c:f>
              <c:numCache>
                <c:formatCode>#,##0"%"</c:formatCode>
                <c:ptCount val="6"/>
                <c:pt idx="0">
                  <c:v>30.64</c:v>
                </c:pt>
                <c:pt idx="1">
                  <c:v>18.93</c:v>
                </c:pt>
                <c:pt idx="2">
                  <c:v>19.54</c:v>
                </c:pt>
                <c:pt idx="3">
                  <c:v>18.93</c:v>
                </c:pt>
                <c:pt idx="4">
                  <c:v>10.87</c:v>
                </c:pt>
                <c:pt idx="5">
                  <c:v>5.29</c:v>
                </c:pt>
              </c:numCache>
            </c:numRef>
          </c:val>
          <c:extLst>
            <c:ext xmlns:c16="http://schemas.microsoft.com/office/drawing/2014/chart" uri="{C3380CC4-5D6E-409C-BE32-E72D297353CC}">
              <c16:uniqueId val="{00000000-3729-4D81-8879-B2C0BF93CC47}"/>
            </c:ext>
          </c:extLst>
        </c:ser>
        <c:ser>
          <c:idx val="1"/>
          <c:order val="1"/>
          <c:tx>
            <c:strRef>
              <c:f>'G8_Fig26&amp;27'!$C$2</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'G8_Fig26&amp;27'!$A$3:$A$8</c:f>
              <c:strCache>
                <c:ptCount val="6"/>
                <c:pt idx="0">
                  <c:v>Arab LDC</c:v>
                </c:pt>
                <c:pt idx="1">
                  <c:v>Arab Maghreb</c:v>
                </c:pt>
                <c:pt idx="2">
                  <c:v>Arab Region</c:v>
                </c:pt>
                <c:pt idx="3">
                  <c:v>Arab Mashreq</c:v>
                </c:pt>
                <c:pt idx="4">
                  <c:v>Arab GCC</c:v>
                </c:pt>
                <c:pt idx="5">
                  <c:v>World</c:v>
                </c:pt>
              </c:strCache>
            </c:strRef>
          </c:cat>
          <c:val>
            <c:numRef>
              <c:f>'G8_Fig26&amp;27'!$C$3:$C$8</c:f>
              <c:numCache>
                <c:formatCode>#,##0"%"</c:formatCode>
                <c:ptCount val="6"/>
                <c:pt idx="0">
                  <c:v>15.51</c:v>
                </c:pt>
                <c:pt idx="1">
                  <c:v>10.59</c:v>
                </c:pt>
                <c:pt idx="2">
                  <c:v>8.6199999999999992</c:v>
                </c:pt>
                <c:pt idx="3">
                  <c:v>8.36</c:v>
                </c:pt>
                <c:pt idx="4">
                  <c:v>1.74</c:v>
                </c:pt>
                <c:pt idx="5">
                  <c:v>5.04</c:v>
                </c:pt>
              </c:numCache>
            </c:numRef>
          </c:val>
          <c:extLst>
            <c:ext xmlns:c16="http://schemas.microsoft.com/office/drawing/2014/chart" uri="{C3380CC4-5D6E-409C-BE32-E72D297353CC}">
              <c16:uniqueId val="{00000001-3729-4D81-8879-B2C0BF93CC47}"/>
            </c:ext>
          </c:extLst>
        </c:ser>
        <c:dLbls>
          <c:dLblPos val="outEnd"/>
          <c:showLegendKey val="0"/>
          <c:showVal val="1"/>
          <c:showCatName val="0"/>
          <c:showSerName val="0"/>
          <c:showPercent val="0"/>
          <c:showBubbleSize val="0"/>
        </c:dLbls>
        <c:gapWidth val="182"/>
        <c:axId val="885645344"/>
        <c:axId val="885656864"/>
        <c:extLst>
          <c:ext xmlns:c15="http://schemas.microsoft.com/office/drawing/2012/chart" uri="{02D57815-91ED-43cb-92C2-25804820EDAC}">
            <c15:filteredBarSeries>
              <c15:ser>
                <c:idx val="2"/>
                <c:order val="2"/>
                <c:tx>
                  <c:strRef>
                    <c:extLst>
                      <c:ext uri="{02D57815-91ED-43cb-92C2-25804820EDAC}">
                        <c15:formulaRef>
                          <c15:sqref>'G8_Fig26&amp;27'!$D$2</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'G8_Fig26&amp;27'!$A$3:$A$8</c15:sqref>
                        </c15:formulaRef>
                      </c:ext>
                    </c:extLst>
                    <c:strCache>
                      <c:ptCount val="6"/>
                      <c:pt idx="0">
                        <c:v>Arab LDC</c:v>
                      </c:pt>
                      <c:pt idx="1">
                        <c:v>Arab Maghreb</c:v>
                      </c:pt>
                      <c:pt idx="2">
                        <c:v>Arab Region</c:v>
                      </c:pt>
                      <c:pt idx="3">
                        <c:v>Arab Mashreq</c:v>
                      </c:pt>
                      <c:pt idx="4">
                        <c:v>Arab GCC</c:v>
                      </c:pt>
                      <c:pt idx="5">
                        <c:v>World</c:v>
                      </c:pt>
                    </c:strCache>
                  </c:strRef>
                </c:cat>
                <c:val>
                  <c:numRef>
                    <c:extLst>
                      <c:ext uri="{02D57815-91ED-43cb-92C2-25804820EDAC}">
                        <c15:formulaRef>
                          <c15:sqref>'G8_Fig26&amp;27'!$D$3:$D$8</c15:sqref>
                        </c15:formulaRef>
                      </c:ext>
                    </c:extLst>
                    <c:numCache>
                      <c:formatCode>General</c:formatCode>
                      <c:ptCount val="6"/>
                    </c:numCache>
                  </c:numRef>
                </c:val>
                <c:extLst>
                  <c:ext xmlns:c16="http://schemas.microsoft.com/office/drawing/2014/chart" uri="{C3380CC4-5D6E-409C-BE32-E72D297353CC}">
                    <c16:uniqueId val="{00000002-3729-4D81-8879-B2C0BF93CC47}"/>
                  </c:ext>
                </c:extLst>
              </c15:ser>
            </c15:filteredBarSeries>
          </c:ext>
        </c:extLst>
      </c:barChart>
      <c:catAx>
        <c:axId val="8856453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656864"/>
        <c:crosses val="autoZero"/>
        <c:auto val="1"/>
        <c:lblAlgn val="ctr"/>
        <c:lblOffset val="100"/>
        <c:noMultiLvlLbl val="0"/>
      </c:catAx>
      <c:valAx>
        <c:axId val="885656864"/>
        <c:scaling>
          <c:orientation val="minMax"/>
        </c:scaling>
        <c:delete val="1"/>
        <c:axPos val="t"/>
        <c:numFmt formatCode="#,##0&quot;%&quot;" sourceLinked="1"/>
        <c:majorTickMark val="none"/>
        <c:minorTickMark val="none"/>
        <c:tickLblPos val="nextTo"/>
        <c:crossAx val="88564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50" b="0" i="0" u="none" strike="noStrike" kern="1200" spc="0" baseline="0">
                <a:solidFill>
                  <a:sysClr val="windowText" lastClr="000000">
                    <a:lumMod val="65000"/>
                    <a:lumOff val="35000"/>
                  </a:sysClr>
                </a:solidFill>
                <a:latin typeface="+mn-lt"/>
                <a:ea typeface="+mn-ea"/>
                <a:cs typeface="+mn-cs"/>
              </a:defRPr>
            </a:pPr>
            <a:r>
              <a:rPr lang="en-US" sz="1050">
                <a:effectLst/>
              </a:rPr>
              <a:t>Youth unemployment rate (15-24), 2023 (%)</a:t>
            </a:r>
          </a:p>
        </c:rich>
      </c:tx>
      <c:layout>
        <c:manualLayout>
          <c:xMode val="edge"/>
          <c:yMode val="edge"/>
          <c:x val="0.26499697420902663"/>
          <c:y val="2.6014248434024178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5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bar"/>
        <c:grouping val="clustered"/>
        <c:varyColors val="0"/>
        <c:ser>
          <c:idx val="0"/>
          <c:order val="0"/>
          <c:tx>
            <c:strRef>
              <c:f>'G8_Fig26&amp;27'!$G$2</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'G8_Fig26&amp;27'!$F$3:$F$8</c:f>
              <c:strCache>
                <c:ptCount val="6"/>
                <c:pt idx="0">
                  <c:v>Arab LDC</c:v>
                </c:pt>
                <c:pt idx="1">
                  <c:v>Arab Maghreb</c:v>
                </c:pt>
                <c:pt idx="2">
                  <c:v>Arab Region</c:v>
                </c:pt>
                <c:pt idx="3">
                  <c:v>Arab Mashreq</c:v>
                </c:pt>
                <c:pt idx="4">
                  <c:v>Arab GCC</c:v>
                </c:pt>
                <c:pt idx="5">
                  <c:v>World</c:v>
                </c:pt>
              </c:strCache>
            </c:strRef>
          </c:cat>
          <c:val>
            <c:numRef>
              <c:f>'G8_Fig26&amp;27'!$G$3:$G$8</c:f>
              <c:numCache>
                <c:formatCode>#,##0"%"</c:formatCode>
                <c:ptCount val="6"/>
                <c:pt idx="0">
                  <c:v>45.04</c:v>
                </c:pt>
                <c:pt idx="1">
                  <c:v>37.43</c:v>
                </c:pt>
                <c:pt idx="2">
                  <c:v>40.14</c:v>
                </c:pt>
                <c:pt idx="3">
                  <c:v>44.45</c:v>
                </c:pt>
                <c:pt idx="4">
                  <c:v>23.51</c:v>
                </c:pt>
                <c:pt idx="5">
                  <c:v>12.94</c:v>
                </c:pt>
              </c:numCache>
            </c:numRef>
          </c:val>
          <c:extLst>
            <c:ext xmlns:c16="http://schemas.microsoft.com/office/drawing/2014/chart" uri="{C3380CC4-5D6E-409C-BE32-E72D297353CC}">
              <c16:uniqueId val="{00000000-6BB6-4C4F-A6F8-8E27D817EE15}"/>
            </c:ext>
          </c:extLst>
        </c:ser>
        <c:ser>
          <c:idx val="1"/>
          <c:order val="1"/>
          <c:tx>
            <c:strRef>
              <c:f>'G8_Fig26&amp;27'!$H$2</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'G8_Fig26&amp;27'!$F$3:$F$8</c:f>
              <c:strCache>
                <c:ptCount val="6"/>
                <c:pt idx="0">
                  <c:v>Arab LDC</c:v>
                </c:pt>
                <c:pt idx="1">
                  <c:v>Arab Maghreb</c:v>
                </c:pt>
                <c:pt idx="2">
                  <c:v>Arab Region</c:v>
                </c:pt>
                <c:pt idx="3">
                  <c:v>Arab Mashreq</c:v>
                </c:pt>
                <c:pt idx="4">
                  <c:v>Arab GCC</c:v>
                </c:pt>
                <c:pt idx="5">
                  <c:v>World</c:v>
                </c:pt>
              </c:strCache>
            </c:strRef>
          </c:cat>
          <c:val>
            <c:numRef>
              <c:f>'G8_Fig26&amp;27'!$H$3:$H$8</c:f>
              <c:numCache>
                <c:formatCode>#,##0"%"</c:formatCode>
                <c:ptCount val="6"/>
                <c:pt idx="0">
                  <c:v>32.770000000000003</c:v>
                </c:pt>
                <c:pt idx="1">
                  <c:v>27.96</c:v>
                </c:pt>
                <c:pt idx="2">
                  <c:v>23.39</c:v>
                </c:pt>
                <c:pt idx="3">
                  <c:v>20.73</c:v>
                </c:pt>
                <c:pt idx="4">
                  <c:v>8.8000000000000007</c:v>
                </c:pt>
                <c:pt idx="5">
                  <c:v>13.5</c:v>
                </c:pt>
              </c:numCache>
            </c:numRef>
          </c:val>
          <c:extLst>
            <c:ext xmlns:c16="http://schemas.microsoft.com/office/drawing/2014/chart" uri="{C3380CC4-5D6E-409C-BE32-E72D297353CC}">
              <c16:uniqueId val="{00000001-6BB6-4C4F-A6F8-8E27D817EE15}"/>
            </c:ext>
          </c:extLst>
        </c:ser>
        <c:dLbls>
          <c:dLblPos val="outEnd"/>
          <c:showLegendKey val="0"/>
          <c:showVal val="1"/>
          <c:showCatName val="0"/>
          <c:showSerName val="0"/>
          <c:showPercent val="0"/>
          <c:showBubbleSize val="0"/>
        </c:dLbls>
        <c:gapWidth val="182"/>
        <c:axId val="885715904"/>
        <c:axId val="885710144"/>
        <c:extLst>
          <c:ext xmlns:c15="http://schemas.microsoft.com/office/drawing/2012/chart" uri="{02D57815-91ED-43cb-92C2-25804820EDAC}">
            <c15:filteredBarSeries>
              <c15:ser>
                <c:idx val="2"/>
                <c:order val="2"/>
                <c:tx>
                  <c:strRef>
                    <c:extLst>
                      <c:ext uri="{02D57815-91ED-43cb-92C2-25804820EDAC}">
                        <c15:formulaRef>
                          <c15:sqref>'G8_Fig26&amp;27'!$I$2</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'G8_Fig26&amp;27'!$F$3:$F$8</c15:sqref>
                        </c15:formulaRef>
                      </c:ext>
                    </c:extLst>
                    <c:strCache>
                      <c:ptCount val="6"/>
                      <c:pt idx="0">
                        <c:v>Arab LDC</c:v>
                      </c:pt>
                      <c:pt idx="1">
                        <c:v>Arab Maghreb</c:v>
                      </c:pt>
                      <c:pt idx="2">
                        <c:v>Arab Region</c:v>
                      </c:pt>
                      <c:pt idx="3">
                        <c:v>Arab Mashreq</c:v>
                      </c:pt>
                      <c:pt idx="4">
                        <c:v>Arab GCC</c:v>
                      </c:pt>
                      <c:pt idx="5">
                        <c:v>World</c:v>
                      </c:pt>
                    </c:strCache>
                  </c:strRef>
                </c:cat>
                <c:val>
                  <c:numRef>
                    <c:extLst>
                      <c:ext uri="{02D57815-91ED-43cb-92C2-25804820EDAC}">
                        <c15:formulaRef>
                          <c15:sqref>'G8_Fig26&amp;27'!$I$3:$I$8</c15:sqref>
                        </c15:formulaRef>
                      </c:ext>
                    </c:extLst>
                    <c:numCache>
                      <c:formatCode>General</c:formatCode>
                      <c:ptCount val="6"/>
                    </c:numCache>
                  </c:numRef>
                </c:val>
                <c:extLst>
                  <c:ext xmlns:c16="http://schemas.microsoft.com/office/drawing/2014/chart" uri="{C3380CC4-5D6E-409C-BE32-E72D297353CC}">
                    <c16:uniqueId val="{00000002-6BB6-4C4F-A6F8-8E27D817EE15}"/>
                  </c:ext>
                </c:extLst>
              </c15:ser>
            </c15:filteredBarSeries>
          </c:ext>
        </c:extLst>
      </c:barChart>
      <c:catAx>
        <c:axId val="885715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710144"/>
        <c:crosses val="autoZero"/>
        <c:auto val="1"/>
        <c:lblAlgn val="ctr"/>
        <c:lblOffset val="100"/>
        <c:noMultiLvlLbl val="0"/>
      </c:catAx>
      <c:valAx>
        <c:axId val="885710144"/>
        <c:scaling>
          <c:orientation val="minMax"/>
        </c:scaling>
        <c:delete val="1"/>
        <c:axPos val="t"/>
        <c:numFmt formatCode="#,##0&quot;%&quot;" sourceLinked="1"/>
        <c:majorTickMark val="none"/>
        <c:minorTickMark val="none"/>
        <c:tickLblPos val="nextTo"/>
        <c:crossAx val="885715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US" sz="1050" b="0" i="0" u="none" strike="noStrike" baseline="0">
                <a:effectLst/>
              </a:rPr>
              <a:t>Employment status, 2000 and 2022 (%)</a:t>
            </a:r>
            <a:endParaRPr lang="en-US" sz="1050"/>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G8_Fig28!$A$3</c:f>
              <c:strCache>
                <c:ptCount val="1"/>
                <c:pt idx="0">
                  <c:v>Contributing Family Workers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G8_Fig28!$B$1:$E$2</c:f>
              <c:multiLvlStrCache>
                <c:ptCount val="4"/>
                <c:lvl>
                  <c:pt idx="0">
                    <c:v>Female</c:v>
                  </c:pt>
                  <c:pt idx="1">
                    <c:v>Male</c:v>
                  </c:pt>
                  <c:pt idx="2">
                    <c:v>Female</c:v>
                  </c:pt>
                  <c:pt idx="3">
                    <c:v>Male</c:v>
                  </c:pt>
                </c:lvl>
                <c:lvl>
                  <c:pt idx="0">
                    <c:v>2000</c:v>
                  </c:pt>
                  <c:pt idx="2">
                    <c:v>2022</c:v>
                  </c:pt>
                </c:lvl>
              </c:multiLvlStrCache>
            </c:multiLvlStrRef>
          </c:cat>
          <c:val>
            <c:numRef>
              <c:f>G8_Fig28!$B$3:$E$3</c:f>
              <c:numCache>
                <c:formatCode>#,##0"%"</c:formatCode>
                <c:ptCount val="4"/>
                <c:pt idx="0">
                  <c:v>23.26868</c:v>
                </c:pt>
                <c:pt idx="1">
                  <c:v>7.7033129999999996</c:v>
                </c:pt>
                <c:pt idx="2">
                  <c:v>10.907209999999999</c:v>
                </c:pt>
                <c:pt idx="3">
                  <c:v>2.7636180000000001</c:v>
                </c:pt>
              </c:numCache>
            </c:numRef>
          </c:val>
          <c:extLst>
            <c:ext xmlns:c16="http://schemas.microsoft.com/office/drawing/2014/chart" uri="{C3380CC4-5D6E-409C-BE32-E72D297353CC}">
              <c16:uniqueId val="{00000000-F3CE-40F7-9F86-91DCF5E2E7D5}"/>
            </c:ext>
          </c:extLst>
        </c:ser>
        <c:ser>
          <c:idx val="1"/>
          <c:order val="1"/>
          <c:tx>
            <c:strRef>
              <c:f>G8_Fig28!$A$4</c:f>
              <c:strCache>
                <c:ptCount val="1"/>
                <c:pt idx="0">
                  <c:v>Self-Employed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G8_Fig28!$B$1:$E$2</c:f>
              <c:multiLvlStrCache>
                <c:ptCount val="4"/>
                <c:lvl>
                  <c:pt idx="0">
                    <c:v>Female</c:v>
                  </c:pt>
                  <c:pt idx="1">
                    <c:v>Male</c:v>
                  </c:pt>
                  <c:pt idx="2">
                    <c:v>Female</c:v>
                  </c:pt>
                  <c:pt idx="3">
                    <c:v>Male</c:v>
                  </c:pt>
                </c:lvl>
                <c:lvl>
                  <c:pt idx="0">
                    <c:v>2000</c:v>
                  </c:pt>
                  <c:pt idx="2">
                    <c:v>2022</c:v>
                  </c:pt>
                </c:lvl>
              </c:multiLvlStrCache>
            </c:multiLvlStrRef>
          </c:cat>
          <c:val>
            <c:numRef>
              <c:f>G8_Fig28!$B$4:$E$4</c:f>
              <c:numCache>
                <c:formatCode>#,##0"%"</c:formatCode>
                <c:ptCount val="4"/>
                <c:pt idx="0">
                  <c:v>46.652990000000003</c:v>
                </c:pt>
                <c:pt idx="1">
                  <c:v>36.78895</c:v>
                </c:pt>
                <c:pt idx="2">
                  <c:v>30.614190000000001</c:v>
                </c:pt>
                <c:pt idx="3">
                  <c:v>29.02289</c:v>
                </c:pt>
              </c:numCache>
            </c:numRef>
          </c:val>
          <c:extLst>
            <c:ext xmlns:c16="http://schemas.microsoft.com/office/drawing/2014/chart" uri="{C3380CC4-5D6E-409C-BE32-E72D297353CC}">
              <c16:uniqueId val="{00000001-F3CE-40F7-9F86-91DCF5E2E7D5}"/>
            </c:ext>
          </c:extLst>
        </c:ser>
        <c:dLbls>
          <c:dLblPos val="outEnd"/>
          <c:showLegendKey val="0"/>
          <c:showVal val="1"/>
          <c:showCatName val="0"/>
          <c:showSerName val="0"/>
          <c:showPercent val="0"/>
          <c:showBubbleSize val="0"/>
        </c:dLbls>
        <c:gapWidth val="100"/>
        <c:axId val="885624224"/>
        <c:axId val="885611744"/>
      </c:barChart>
      <c:catAx>
        <c:axId val="88562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611744"/>
        <c:crosses val="autoZero"/>
        <c:auto val="1"/>
        <c:lblAlgn val="ctr"/>
        <c:lblOffset val="100"/>
        <c:noMultiLvlLbl val="0"/>
      </c:catAx>
      <c:valAx>
        <c:axId val="885611744"/>
        <c:scaling>
          <c:orientation val="minMax"/>
        </c:scaling>
        <c:delete val="1"/>
        <c:axPos val="l"/>
        <c:numFmt formatCode="#,##0&quot;%&quot;" sourceLinked="1"/>
        <c:majorTickMark val="none"/>
        <c:minorTickMark val="none"/>
        <c:tickLblPos val="nextTo"/>
        <c:crossAx val="885624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US" sz="1050">
                <a:effectLst/>
              </a:rPr>
              <a:t>Proportion of youth Not in Education, Employment or Training (NEET), 2023 (%)</a:t>
            </a: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G8_Fig29!$B$1</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G8_Fig29!$A$2:$A$7</c:f>
              <c:strCache>
                <c:ptCount val="6"/>
                <c:pt idx="0">
                  <c:v>Arab LDC</c:v>
                </c:pt>
                <c:pt idx="1">
                  <c:v>Arab Mashreq</c:v>
                </c:pt>
                <c:pt idx="2">
                  <c:v>Arab Region</c:v>
                </c:pt>
                <c:pt idx="3">
                  <c:v>Arab Maghreb</c:v>
                </c:pt>
                <c:pt idx="4">
                  <c:v>World</c:v>
                </c:pt>
                <c:pt idx="5">
                  <c:v>Arab GCC</c:v>
                </c:pt>
              </c:strCache>
            </c:strRef>
          </c:cat>
          <c:val>
            <c:numRef>
              <c:f>G8_Fig29!$B$2:$B$7</c:f>
              <c:numCache>
                <c:formatCode>0%</c:formatCode>
                <c:ptCount val="6"/>
                <c:pt idx="0">
                  <c:v>0.535699996948242</c:v>
                </c:pt>
                <c:pt idx="1">
                  <c:v>0.44130001068115199</c:v>
                </c:pt>
                <c:pt idx="2">
                  <c:v>0.42060001373291001</c:v>
                </c:pt>
                <c:pt idx="3">
                  <c:v>0.30549999237060499</c:v>
                </c:pt>
                <c:pt idx="4">
                  <c:v>0.2974</c:v>
                </c:pt>
                <c:pt idx="5">
                  <c:v>0.21719999313354399</c:v>
                </c:pt>
              </c:numCache>
            </c:numRef>
          </c:val>
          <c:extLst>
            <c:ext xmlns:c16="http://schemas.microsoft.com/office/drawing/2014/chart" uri="{C3380CC4-5D6E-409C-BE32-E72D297353CC}">
              <c16:uniqueId val="{00000000-C6B4-46BF-9D04-A7BA8D3445D8}"/>
            </c:ext>
          </c:extLst>
        </c:ser>
        <c:ser>
          <c:idx val="1"/>
          <c:order val="1"/>
          <c:tx>
            <c:strRef>
              <c:f>G8_Fig29!$C$1</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G8_Fig29!$A$2:$A$7</c:f>
              <c:strCache>
                <c:ptCount val="6"/>
                <c:pt idx="0">
                  <c:v>Arab LDC</c:v>
                </c:pt>
                <c:pt idx="1">
                  <c:v>Arab Mashreq</c:v>
                </c:pt>
                <c:pt idx="2">
                  <c:v>Arab Region</c:v>
                </c:pt>
                <c:pt idx="3">
                  <c:v>Arab Maghreb</c:v>
                </c:pt>
                <c:pt idx="4">
                  <c:v>World</c:v>
                </c:pt>
                <c:pt idx="5">
                  <c:v>Arab GCC</c:v>
                </c:pt>
              </c:strCache>
            </c:strRef>
          </c:cat>
          <c:val>
            <c:numRef>
              <c:f>G8_Fig29!$C$2:$C$7</c:f>
              <c:numCache>
                <c:formatCode>0%</c:formatCode>
                <c:ptCount val="6"/>
                <c:pt idx="0">
                  <c:v>0.251499996185302</c:v>
                </c:pt>
                <c:pt idx="1">
                  <c:v>0.20209999084472599</c:v>
                </c:pt>
                <c:pt idx="2">
                  <c:v>0.197199993133544</c:v>
                </c:pt>
                <c:pt idx="3">
                  <c:v>0.15939999580383299</c:v>
                </c:pt>
                <c:pt idx="4">
                  <c:v>0.14069999999999999</c:v>
                </c:pt>
                <c:pt idx="5">
                  <c:v>0.10189999580383299</c:v>
                </c:pt>
              </c:numCache>
            </c:numRef>
          </c:val>
          <c:extLst>
            <c:ext xmlns:c16="http://schemas.microsoft.com/office/drawing/2014/chart" uri="{C3380CC4-5D6E-409C-BE32-E72D297353CC}">
              <c16:uniqueId val="{00000001-C6B4-46BF-9D04-A7BA8D3445D8}"/>
            </c:ext>
          </c:extLst>
        </c:ser>
        <c:dLbls>
          <c:dLblPos val="outEnd"/>
          <c:showLegendKey val="0"/>
          <c:showVal val="1"/>
          <c:showCatName val="0"/>
          <c:showSerName val="0"/>
          <c:showPercent val="0"/>
          <c:showBubbleSize val="0"/>
        </c:dLbls>
        <c:gapWidth val="182"/>
        <c:axId val="885712544"/>
        <c:axId val="885698144"/>
        <c:extLst>
          <c:ext xmlns:c15="http://schemas.microsoft.com/office/drawing/2012/chart" uri="{02D57815-91ED-43cb-92C2-25804820EDAC}">
            <c15:filteredBarSeries>
              <c15:ser>
                <c:idx val="2"/>
                <c:order val="2"/>
                <c:tx>
                  <c:strRef>
                    <c:extLst>
                      <c:ext uri="{02D57815-91ED-43cb-92C2-25804820EDAC}">
                        <c15:formulaRef>
                          <c15:sqref>G8_Fig41!#REF!</c15:sqref>
                        </c15:formulaRef>
                      </c:ext>
                    </c:extLst>
                    <c:strCache>
                      <c:ptCount val="1"/>
                      <c:pt idx="0">
                        <c:v>#REF!</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G8_Fig29!$A$2:$A$7</c15:sqref>
                        </c15:formulaRef>
                      </c:ext>
                    </c:extLst>
                    <c:strCache>
                      <c:ptCount val="6"/>
                      <c:pt idx="0">
                        <c:v>Arab LDC</c:v>
                      </c:pt>
                      <c:pt idx="1">
                        <c:v>Arab Mashreq</c:v>
                      </c:pt>
                      <c:pt idx="2">
                        <c:v>Arab Region</c:v>
                      </c:pt>
                      <c:pt idx="3">
                        <c:v>Arab Maghreb</c:v>
                      </c:pt>
                      <c:pt idx="4">
                        <c:v>World</c:v>
                      </c:pt>
                      <c:pt idx="5">
                        <c:v>Arab GCC</c:v>
                      </c:pt>
                    </c:strCache>
                  </c:strRef>
                </c:cat>
                <c:val>
                  <c:numRef>
                    <c:extLst>
                      <c:ext uri="{02D57815-91ED-43cb-92C2-25804820EDAC}">
                        <c15:formulaRef>
                          <c15:sqref>G8_Fig41!#REF!</c15:sqref>
                        </c15:formulaRef>
                      </c:ext>
                    </c:extLst>
                    <c:numCache>
                      <c:formatCode>General</c:formatCode>
                      <c:ptCount val="1"/>
                      <c:pt idx="0">
                        <c:v>1</c:v>
                      </c:pt>
                    </c:numCache>
                  </c:numRef>
                </c:val>
                <c:extLst>
                  <c:ext xmlns:c16="http://schemas.microsoft.com/office/drawing/2014/chart" uri="{C3380CC4-5D6E-409C-BE32-E72D297353CC}">
                    <c16:uniqueId val="{00000002-C6B4-46BF-9D04-A7BA8D3445D8}"/>
                  </c:ext>
                </c:extLst>
              </c15:ser>
            </c15:filteredBarSeries>
          </c:ext>
        </c:extLst>
      </c:barChart>
      <c:catAx>
        <c:axId val="885712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698144"/>
        <c:crosses val="autoZero"/>
        <c:auto val="1"/>
        <c:lblAlgn val="ctr"/>
        <c:lblOffset val="100"/>
        <c:noMultiLvlLbl val="0"/>
      </c:catAx>
      <c:valAx>
        <c:axId val="885698144"/>
        <c:scaling>
          <c:orientation val="minMax"/>
        </c:scaling>
        <c:delete val="1"/>
        <c:axPos val="t"/>
        <c:numFmt formatCode="0%" sourceLinked="1"/>
        <c:majorTickMark val="none"/>
        <c:minorTickMark val="none"/>
        <c:tickLblPos val="nextTo"/>
        <c:crossAx val="885712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US" sz="1050">
                <a:effectLst/>
              </a:rPr>
              <a:t>Proportion of adults (15 years and older) with an account at a financial institution or mobile-money-service provider, 2011 and 2021 (%)</a:t>
            </a: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G8_Fig30!$A$3</c:f>
              <c:strCache>
                <c:ptCount val="1"/>
                <c:pt idx="0">
                  <c:v>Arab region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G8_Fig30!$B$1:$E$2</c:f>
              <c:multiLvlStrCache>
                <c:ptCount val="4"/>
                <c:lvl>
                  <c:pt idx="0">
                    <c:v>Female</c:v>
                  </c:pt>
                  <c:pt idx="1">
                    <c:v>Male</c:v>
                  </c:pt>
                  <c:pt idx="2">
                    <c:v>Female</c:v>
                  </c:pt>
                  <c:pt idx="3">
                    <c:v>Male</c:v>
                  </c:pt>
                </c:lvl>
                <c:lvl>
                  <c:pt idx="0">
                    <c:v>2011</c:v>
                  </c:pt>
                  <c:pt idx="2">
                    <c:v>2021</c:v>
                  </c:pt>
                </c:lvl>
              </c:multiLvlStrCache>
            </c:multiLvlStrRef>
          </c:cat>
          <c:val>
            <c:numRef>
              <c:f>G8_Fig30!$B$3:$E$3</c:f>
              <c:numCache>
                <c:formatCode>#,##0"%"</c:formatCode>
                <c:ptCount val="4"/>
                <c:pt idx="0">
                  <c:v>13.927160000000001</c:v>
                </c:pt>
                <c:pt idx="1">
                  <c:v>30.662181</c:v>
                </c:pt>
                <c:pt idx="2">
                  <c:v>28.909659999999999</c:v>
                </c:pt>
                <c:pt idx="3">
                  <c:v>45.801796000000003</c:v>
                </c:pt>
              </c:numCache>
            </c:numRef>
          </c:val>
          <c:extLst>
            <c:ext xmlns:c16="http://schemas.microsoft.com/office/drawing/2014/chart" uri="{C3380CC4-5D6E-409C-BE32-E72D297353CC}">
              <c16:uniqueId val="{00000000-B5A8-4650-A4D4-CA35CB59AF38}"/>
            </c:ext>
          </c:extLst>
        </c:ser>
        <c:ser>
          <c:idx val="1"/>
          <c:order val="1"/>
          <c:tx>
            <c:strRef>
              <c:f>G8_Fig30!$A$4</c:f>
              <c:strCache>
                <c:ptCount val="1"/>
                <c:pt idx="0">
                  <c:v>World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G8_Fig30!$B$1:$E$2</c:f>
              <c:multiLvlStrCache>
                <c:ptCount val="4"/>
                <c:lvl>
                  <c:pt idx="0">
                    <c:v>Female</c:v>
                  </c:pt>
                  <c:pt idx="1">
                    <c:v>Male</c:v>
                  </c:pt>
                  <c:pt idx="2">
                    <c:v>Female</c:v>
                  </c:pt>
                  <c:pt idx="3">
                    <c:v>Male</c:v>
                  </c:pt>
                </c:lvl>
                <c:lvl>
                  <c:pt idx="0">
                    <c:v>2011</c:v>
                  </c:pt>
                  <c:pt idx="2">
                    <c:v>2021</c:v>
                  </c:pt>
                </c:lvl>
              </c:multiLvlStrCache>
            </c:multiLvlStrRef>
          </c:cat>
          <c:val>
            <c:numRef>
              <c:f>G8_Fig30!$B$4:$E$4</c:f>
              <c:numCache>
                <c:formatCode>#,##0"%"</c:formatCode>
                <c:ptCount val="4"/>
                <c:pt idx="0">
                  <c:v>46.616593003273003</c:v>
                </c:pt>
                <c:pt idx="1">
                  <c:v>54.750561714172399</c:v>
                </c:pt>
                <c:pt idx="2">
                  <c:v>71.419996023178101</c:v>
                </c:pt>
                <c:pt idx="3">
                  <c:v>76.388859748840304</c:v>
                </c:pt>
              </c:numCache>
            </c:numRef>
          </c:val>
          <c:extLst>
            <c:ext xmlns:c16="http://schemas.microsoft.com/office/drawing/2014/chart" uri="{C3380CC4-5D6E-409C-BE32-E72D297353CC}">
              <c16:uniqueId val="{00000001-B5A8-4650-A4D4-CA35CB59AF38}"/>
            </c:ext>
          </c:extLst>
        </c:ser>
        <c:dLbls>
          <c:dLblPos val="outEnd"/>
          <c:showLegendKey val="0"/>
          <c:showVal val="1"/>
          <c:showCatName val="0"/>
          <c:showSerName val="0"/>
          <c:showPercent val="0"/>
          <c:showBubbleSize val="0"/>
        </c:dLbls>
        <c:gapWidth val="219"/>
        <c:overlap val="-27"/>
        <c:axId val="885617984"/>
        <c:axId val="885612224"/>
      </c:barChart>
      <c:catAx>
        <c:axId val="88561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612224"/>
        <c:crosses val="autoZero"/>
        <c:auto val="1"/>
        <c:lblAlgn val="ctr"/>
        <c:lblOffset val="100"/>
        <c:noMultiLvlLbl val="0"/>
      </c:catAx>
      <c:valAx>
        <c:axId val="885612224"/>
        <c:scaling>
          <c:orientation val="minMax"/>
        </c:scaling>
        <c:delete val="1"/>
        <c:axPos val="l"/>
        <c:numFmt formatCode="#,##0&quot;%&quot;" sourceLinked="1"/>
        <c:majorTickMark val="none"/>
        <c:minorTickMark val="none"/>
        <c:tickLblPos val="nextTo"/>
        <c:crossAx val="885617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COPA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5882287788599643"/>
          <c:y val="0.22557819878184271"/>
          <c:w val="0.57687339028849505"/>
          <c:h val="0.61913309707502195"/>
        </c:manualLayout>
      </c:layout>
      <c:barChart>
        <c:barDir val="bar"/>
        <c:grouping val="clustered"/>
        <c:varyColors val="0"/>
        <c:ser>
          <c:idx val="0"/>
          <c:order val="0"/>
          <c:tx>
            <c:strRef>
              <c:f>'G9_COPA&amp;Email'!$B$2</c:f>
              <c:strCache>
                <c:ptCount val="1"/>
                <c:pt idx="0">
                  <c:v>Female</c:v>
                </c:pt>
              </c:strCache>
            </c:strRef>
          </c:tx>
          <c:spPr>
            <a:solidFill>
              <a:schemeClr val="accent2"/>
            </a:solidFill>
            <a:ln>
              <a:noFill/>
            </a:ln>
            <a:effectLst/>
          </c:spPr>
          <c:invertIfNegative val="0"/>
          <c:cat>
            <c:strRef>
              <c:f>'G9_COPA&amp;Email'!$A$3:$A$13</c:f>
              <c:strCache>
                <c:ptCount val="11"/>
                <c:pt idx="0">
                  <c:v>Egypt, 2016</c:v>
                </c:pt>
                <c:pt idx="1">
                  <c:v>Morocco, 2021</c:v>
                </c:pt>
                <c:pt idx="2">
                  <c:v>Algeria, 2018</c:v>
                </c:pt>
                <c:pt idx="3">
                  <c:v>Iraq, 2022</c:v>
                </c:pt>
                <c:pt idx="4">
                  <c:v>Palestine, 2019</c:v>
                </c:pt>
                <c:pt idx="5">
                  <c:v>Saudi Arabia, 2022</c:v>
                </c:pt>
                <c:pt idx="6">
                  <c:v>United Arab Emirates, 2022</c:v>
                </c:pt>
                <c:pt idx="7">
                  <c:v>Kuwait, 2021</c:v>
                </c:pt>
                <c:pt idx="8">
                  <c:v>Qatar, 2020</c:v>
                </c:pt>
                <c:pt idx="9">
                  <c:v>Oman, 2020</c:v>
                </c:pt>
                <c:pt idx="10">
                  <c:v>Bahrain, 2021</c:v>
                </c:pt>
              </c:strCache>
            </c:strRef>
          </c:cat>
          <c:val>
            <c:numRef>
              <c:f>'G9_COPA&amp;Email'!$B$3:$B$13</c:f>
              <c:numCache>
                <c:formatCode>0</c:formatCode>
                <c:ptCount val="11"/>
                <c:pt idx="0">
                  <c:v>33.6</c:v>
                </c:pt>
                <c:pt idx="1">
                  <c:v>51.3</c:v>
                </c:pt>
                <c:pt idx="2">
                  <c:v>12.5</c:v>
                </c:pt>
                <c:pt idx="3">
                  <c:v>9.8000000000000007</c:v>
                </c:pt>
                <c:pt idx="4">
                  <c:v>14.3</c:v>
                </c:pt>
                <c:pt idx="5">
                  <c:v>100</c:v>
                </c:pt>
                <c:pt idx="6">
                  <c:v>100</c:v>
                </c:pt>
                <c:pt idx="7">
                  <c:v>68.599999999999994</c:v>
                </c:pt>
                <c:pt idx="8">
                  <c:v>55.2</c:v>
                </c:pt>
                <c:pt idx="9">
                  <c:v>87.8</c:v>
                </c:pt>
                <c:pt idx="10">
                  <c:v>77.2</c:v>
                </c:pt>
              </c:numCache>
            </c:numRef>
          </c:val>
          <c:extLst>
            <c:ext xmlns:c16="http://schemas.microsoft.com/office/drawing/2014/chart" uri="{C3380CC4-5D6E-409C-BE32-E72D297353CC}">
              <c16:uniqueId val="{00000000-4E13-4F6D-A84C-CF51DEF03D40}"/>
            </c:ext>
          </c:extLst>
        </c:ser>
        <c:ser>
          <c:idx val="1"/>
          <c:order val="1"/>
          <c:tx>
            <c:strRef>
              <c:f>'G9_COPA&amp;Email'!$C$2</c:f>
              <c:strCache>
                <c:ptCount val="1"/>
                <c:pt idx="0">
                  <c:v>Male</c:v>
                </c:pt>
              </c:strCache>
            </c:strRef>
          </c:tx>
          <c:spPr>
            <a:solidFill>
              <a:schemeClr val="accent1"/>
            </a:solidFill>
            <a:ln>
              <a:noFill/>
            </a:ln>
            <a:effectLst/>
          </c:spPr>
          <c:invertIfNegative val="0"/>
          <c:cat>
            <c:strRef>
              <c:f>'G9_COPA&amp;Email'!$A$3:$A$13</c:f>
              <c:strCache>
                <c:ptCount val="11"/>
                <c:pt idx="0">
                  <c:v>Egypt, 2016</c:v>
                </c:pt>
                <c:pt idx="1">
                  <c:v>Morocco, 2021</c:v>
                </c:pt>
                <c:pt idx="2">
                  <c:v>Algeria, 2018</c:v>
                </c:pt>
                <c:pt idx="3">
                  <c:v>Iraq, 2022</c:v>
                </c:pt>
                <c:pt idx="4">
                  <c:v>Palestine, 2019</c:v>
                </c:pt>
                <c:pt idx="5">
                  <c:v>Saudi Arabia, 2022</c:v>
                </c:pt>
                <c:pt idx="6">
                  <c:v>United Arab Emirates, 2022</c:v>
                </c:pt>
                <c:pt idx="7">
                  <c:v>Kuwait, 2021</c:v>
                </c:pt>
                <c:pt idx="8">
                  <c:v>Qatar, 2020</c:v>
                </c:pt>
                <c:pt idx="9">
                  <c:v>Oman, 2020</c:v>
                </c:pt>
                <c:pt idx="10">
                  <c:v>Bahrain, 2021</c:v>
                </c:pt>
              </c:strCache>
            </c:strRef>
          </c:cat>
          <c:val>
            <c:numRef>
              <c:f>'G9_COPA&amp;Email'!$C$3:$C$13</c:f>
              <c:numCache>
                <c:formatCode>0</c:formatCode>
                <c:ptCount val="11"/>
                <c:pt idx="0">
                  <c:v>47.8</c:v>
                </c:pt>
                <c:pt idx="1">
                  <c:v>61.9</c:v>
                </c:pt>
                <c:pt idx="2">
                  <c:v>22.8</c:v>
                </c:pt>
                <c:pt idx="3">
                  <c:v>15.4</c:v>
                </c:pt>
                <c:pt idx="4">
                  <c:v>15.4</c:v>
                </c:pt>
                <c:pt idx="5">
                  <c:v>100</c:v>
                </c:pt>
                <c:pt idx="6">
                  <c:v>100</c:v>
                </c:pt>
                <c:pt idx="7">
                  <c:v>67</c:v>
                </c:pt>
                <c:pt idx="8">
                  <c:v>53.1</c:v>
                </c:pt>
                <c:pt idx="9">
                  <c:v>83</c:v>
                </c:pt>
                <c:pt idx="10">
                  <c:v>63.3</c:v>
                </c:pt>
              </c:numCache>
            </c:numRef>
          </c:val>
          <c:extLst>
            <c:ext xmlns:c16="http://schemas.microsoft.com/office/drawing/2014/chart" uri="{C3380CC4-5D6E-409C-BE32-E72D297353CC}">
              <c16:uniqueId val="{00000001-4E13-4F6D-A84C-CF51DEF03D40}"/>
            </c:ext>
          </c:extLst>
        </c:ser>
        <c:dLbls>
          <c:showLegendKey val="0"/>
          <c:showVal val="0"/>
          <c:showCatName val="0"/>
          <c:showSerName val="0"/>
          <c:showPercent val="0"/>
          <c:showBubbleSize val="0"/>
        </c:dLbls>
        <c:gapWidth val="182"/>
        <c:axId val="630304320"/>
        <c:axId val="630297600"/>
      </c:barChart>
      <c:catAx>
        <c:axId val="630304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297600"/>
        <c:crosses val="autoZero"/>
        <c:auto val="1"/>
        <c:lblAlgn val="ctr"/>
        <c:lblOffset val="100"/>
        <c:noMultiLvlLbl val="0"/>
      </c:catAx>
      <c:valAx>
        <c:axId val="630297600"/>
        <c:scaling>
          <c:orientation val="minMax"/>
          <c:max val="100"/>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304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EMAIL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1345562970088842"/>
          <c:y val="0.23474650359116003"/>
          <c:w val="0.63692974816694503"/>
          <c:h val="0.61913309707502195"/>
        </c:manualLayout>
      </c:layout>
      <c:barChart>
        <c:barDir val="bar"/>
        <c:grouping val="clustered"/>
        <c:varyColors val="0"/>
        <c:ser>
          <c:idx val="0"/>
          <c:order val="0"/>
          <c:tx>
            <c:strRef>
              <c:f>'G9_COPA&amp;Email'!$H$2</c:f>
              <c:strCache>
                <c:ptCount val="1"/>
                <c:pt idx="0">
                  <c:v>Female</c:v>
                </c:pt>
              </c:strCache>
            </c:strRef>
          </c:tx>
          <c:spPr>
            <a:solidFill>
              <a:schemeClr val="accent2"/>
            </a:solidFill>
            <a:ln>
              <a:noFill/>
            </a:ln>
            <a:effectLst/>
          </c:spPr>
          <c:invertIfNegative val="0"/>
          <c:cat>
            <c:strRef>
              <c:f>'G9_COPA&amp;Email'!$G$3:$G$13</c:f>
              <c:strCache>
                <c:ptCount val="11"/>
                <c:pt idx="0">
                  <c:v>Morocco, 2021</c:v>
                </c:pt>
                <c:pt idx="1">
                  <c:v>Algeria, 2018</c:v>
                </c:pt>
                <c:pt idx="2">
                  <c:v>Egypt, 2016</c:v>
                </c:pt>
                <c:pt idx="3">
                  <c:v>Iraq, 2022</c:v>
                </c:pt>
                <c:pt idx="4">
                  <c:v>Palestine, 2019</c:v>
                </c:pt>
                <c:pt idx="5">
                  <c:v>United Arab Emirates, 2022</c:v>
                </c:pt>
                <c:pt idx="6">
                  <c:v>Saudi Arabia, 2022</c:v>
                </c:pt>
                <c:pt idx="7">
                  <c:v>Kuwait, 2021</c:v>
                </c:pt>
                <c:pt idx="8">
                  <c:v>Oman, 2020</c:v>
                </c:pt>
                <c:pt idx="9">
                  <c:v>Bahrain, 2021</c:v>
                </c:pt>
                <c:pt idx="10">
                  <c:v>Qatar, 2020</c:v>
                </c:pt>
              </c:strCache>
            </c:strRef>
          </c:cat>
          <c:val>
            <c:numRef>
              <c:f>'G9_COPA&amp;Email'!$H$3:$H$13</c:f>
              <c:numCache>
                <c:formatCode>0</c:formatCode>
                <c:ptCount val="11"/>
                <c:pt idx="0">
                  <c:v>35</c:v>
                </c:pt>
                <c:pt idx="1">
                  <c:v>10.5</c:v>
                </c:pt>
                <c:pt idx="2">
                  <c:v>18.600000000000001</c:v>
                </c:pt>
                <c:pt idx="3">
                  <c:v>6</c:v>
                </c:pt>
                <c:pt idx="4">
                  <c:v>9.3000000000000007</c:v>
                </c:pt>
                <c:pt idx="5">
                  <c:v>100</c:v>
                </c:pt>
                <c:pt idx="6">
                  <c:v>99.1</c:v>
                </c:pt>
                <c:pt idx="7">
                  <c:v>68.2</c:v>
                </c:pt>
                <c:pt idx="8">
                  <c:v>95.8</c:v>
                </c:pt>
                <c:pt idx="9">
                  <c:v>87.4</c:v>
                </c:pt>
                <c:pt idx="10">
                  <c:v>64.2</c:v>
                </c:pt>
              </c:numCache>
            </c:numRef>
          </c:val>
          <c:extLst>
            <c:ext xmlns:c16="http://schemas.microsoft.com/office/drawing/2014/chart" uri="{C3380CC4-5D6E-409C-BE32-E72D297353CC}">
              <c16:uniqueId val="{00000000-B541-43E1-9877-DAFFED11D214}"/>
            </c:ext>
          </c:extLst>
        </c:ser>
        <c:ser>
          <c:idx val="1"/>
          <c:order val="1"/>
          <c:tx>
            <c:strRef>
              <c:f>'G9_COPA&amp;Email'!$I$2</c:f>
              <c:strCache>
                <c:ptCount val="1"/>
                <c:pt idx="0">
                  <c:v>Male</c:v>
                </c:pt>
              </c:strCache>
            </c:strRef>
          </c:tx>
          <c:spPr>
            <a:solidFill>
              <a:schemeClr val="accent1"/>
            </a:solidFill>
            <a:ln>
              <a:noFill/>
            </a:ln>
            <a:effectLst/>
          </c:spPr>
          <c:invertIfNegative val="0"/>
          <c:cat>
            <c:strRef>
              <c:f>'G9_COPA&amp;Email'!$G$3:$G$13</c:f>
              <c:strCache>
                <c:ptCount val="11"/>
                <c:pt idx="0">
                  <c:v>Morocco, 2021</c:v>
                </c:pt>
                <c:pt idx="1">
                  <c:v>Algeria, 2018</c:v>
                </c:pt>
                <c:pt idx="2">
                  <c:v>Egypt, 2016</c:v>
                </c:pt>
                <c:pt idx="3">
                  <c:v>Iraq, 2022</c:v>
                </c:pt>
                <c:pt idx="4">
                  <c:v>Palestine, 2019</c:v>
                </c:pt>
                <c:pt idx="5">
                  <c:v>United Arab Emirates, 2022</c:v>
                </c:pt>
                <c:pt idx="6">
                  <c:v>Saudi Arabia, 2022</c:v>
                </c:pt>
                <c:pt idx="7">
                  <c:v>Kuwait, 2021</c:v>
                </c:pt>
                <c:pt idx="8">
                  <c:v>Oman, 2020</c:v>
                </c:pt>
                <c:pt idx="9">
                  <c:v>Bahrain, 2021</c:v>
                </c:pt>
                <c:pt idx="10">
                  <c:v>Qatar, 2020</c:v>
                </c:pt>
              </c:strCache>
            </c:strRef>
          </c:cat>
          <c:val>
            <c:numRef>
              <c:f>'G9_COPA&amp;Email'!$I$3:$I$13</c:f>
              <c:numCache>
                <c:formatCode>0</c:formatCode>
                <c:ptCount val="11"/>
                <c:pt idx="0">
                  <c:v>48.1</c:v>
                </c:pt>
                <c:pt idx="1">
                  <c:v>21.7</c:v>
                </c:pt>
                <c:pt idx="2">
                  <c:v>26</c:v>
                </c:pt>
                <c:pt idx="3">
                  <c:v>10.199999999999999</c:v>
                </c:pt>
                <c:pt idx="4">
                  <c:v>13.3</c:v>
                </c:pt>
                <c:pt idx="5">
                  <c:v>100</c:v>
                </c:pt>
                <c:pt idx="6">
                  <c:v>97.8</c:v>
                </c:pt>
                <c:pt idx="7">
                  <c:v>64.7</c:v>
                </c:pt>
                <c:pt idx="8">
                  <c:v>91</c:v>
                </c:pt>
                <c:pt idx="9">
                  <c:v>78.900000000000006</c:v>
                </c:pt>
                <c:pt idx="10">
                  <c:v>53.1</c:v>
                </c:pt>
              </c:numCache>
            </c:numRef>
          </c:val>
          <c:extLst>
            <c:ext xmlns:c16="http://schemas.microsoft.com/office/drawing/2014/chart" uri="{C3380CC4-5D6E-409C-BE32-E72D297353CC}">
              <c16:uniqueId val="{00000001-B541-43E1-9877-DAFFED11D214}"/>
            </c:ext>
          </c:extLst>
        </c:ser>
        <c:dLbls>
          <c:showLegendKey val="0"/>
          <c:showVal val="0"/>
          <c:showCatName val="0"/>
          <c:showSerName val="0"/>
          <c:showPercent val="0"/>
          <c:showBubbleSize val="0"/>
        </c:dLbls>
        <c:gapWidth val="182"/>
        <c:axId val="630285120"/>
        <c:axId val="630298560"/>
      </c:barChart>
      <c:catAx>
        <c:axId val="630285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298560"/>
        <c:crosses val="autoZero"/>
        <c:auto val="1"/>
        <c:lblAlgn val="ctr"/>
        <c:lblOffset val="100"/>
        <c:noMultiLvlLbl val="0"/>
      </c:catAx>
      <c:valAx>
        <c:axId val="630298560"/>
        <c:scaling>
          <c:orientation val="minMax"/>
          <c:max val="100"/>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285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G9_Fig31!$A$2</c:f>
              <c:strCache>
                <c:ptCount val="1"/>
                <c:pt idx="0">
                  <c:v>Agriculture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G9_Fig31!$B$1:$C$1</c:f>
              <c:strCache>
                <c:ptCount val="2"/>
                <c:pt idx="0">
                  <c:v>Female</c:v>
                </c:pt>
                <c:pt idx="1">
                  <c:v>Male</c:v>
                </c:pt>
              </c:strCache>
            </c:strRef>
          </c:cat>
          <c:val>
            <c:numRef>
              <c:f>G9_Fig31!$B$2:$C$2</c:f>
              <c:numCache>
                <c:formatCode>#,##0"%"</c:formatCode>
                <c:ptCount val="2"/>
                <c:pt idx="0">
                  <c:v>18.667480000000001</c:v>
                </c:pt>
                <c:pt idx="1">
                  <c:v>15.427860000000001</c:v>
                </c:pt>
              </c:numCache>
            </c:numRef>
          </c:val>
          <c:extLst>
            <c:ext xmlns:c16="http://schemas.microsoft.com/office/drawing/2014/chart" uri="{C3380CC4-5D6E-409C-BE32-E72D297353CC}">
              <c16:uniqueId val="{00000000-919A-443B-9DA0-A2EB427257C4}"/>
            </c:ext>
          </c:extLst>
        </c:ser>
        <c:ser>
          <c:idx val="1"/>
          <c:order val="1"/>
          <c:tx>
            <c:strRef>
              <c:f>G9_Fig31!$A$3</c:f>
              <c:strCache>
                <c:ptCount val="1"/>
                <c:pt idx="0">
                  <c:v>Industry</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G9_Fig31!$B$1:$C$1</c:f>
              <c:strCache>
                <c:ptCount val="2"/>
                <c:pt idx="0">
                  <c:v>Female</c:v>
                </c:pt>
                <c:pt idx="1">
                  <c:v>Male</c:v>
                </c:pt>
              </c:strCache>
            </c:strRef>
          </c:cat>
          <c:val>
            <c:numRef>
              <c:f>G9_Fig31!$B$3:$C$3</c:f>
              <c:numCache>
                <c:formatCode>#,##0"%"</c:formatCode>
                <c:ptCount val="2"/>
                <c:pt idx="0">
                  <c:v>10.3073</c:v>
                </c:pt>
                <c:pt idx="1">
                  <c:v>27.882750000000001</c:v>
                </c:pt>
              </c:numCache>
            </c:numRef>
          </c:val>
          <c:extLst>
            <c:ext xmlns:c16="http://schemas.microsoft.com/office/drawing/2014/chart" uri="{C3380CC4-5D6E-409C-BE32-E72D297353CC}">
              <c16:uniqueId val="{00000001-919A-443B-9DA0-A2EB427257C4}"/>
            </c:ext>
          </c:extLst>
        </c:ser>
        <c:ser>
          <c:idx val="2"/>
          <c:order val="2"/>
          <c:tx>
            <c:strRef>
              <c:f>G9_Fig31!$A$4</c:f>
              <c:strCache>
                <c:ptCount val="1"/>
                <c:pt idx="0">
                  <c:v>Services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G9_Fig31!$B$1:$C$1</c:f>
              <c:strCache>
                <c:ptCount val="2"/>
                <c:pt idx="0">
                  <c:v>Female</c:v>
                </c:pt>
                <c:pt idx="1">
                  <c:v>Male</c:v>
                </c:pt>
              </c:strCache>
            </c:strRef>
          </c:cat>
          <c:val>
            <c:numRef>
              <c:f>G9_Fig31!$B$4:$C$4</c:f>
              <c:numCache>
                <c:formatCode>#,##0"%"</c:formatCode>
                <c:ptCount val="2"/>
                <c:pt idx="0">
                  <c:v>71.02525</c:v>
                </c:pt>
                <c:pt idx="1">
                  <c:v>56.689329999999998</c:v>
                </c:pt>
              </c:numCache>
            </c:numRef>
          </c:val>
          <c:extLst>
            <c:ext xmlns:c16="http://schemas.microsoft.com/office/drawing/2014/chart" uri="{C3380CC4-5D6E-409C-BE32-E72D297353CC}">
              <c16:uniqueId val="{00000002-919A-443B-9DA0-A2EB427257C4}"/>
            </c:ext>
          </c:extLst>
        </c:ser>
        <c:dLbls>
          <c:dLblPos val="ctr"/>
          <c:showLegendKey val="0"/>
          <c:showVal val="1"/>
          <c:showCatName val="0"/>
          <c:showSerName val="0"/>
          <c:showPercent val="0"/>
          <c:showBubbleSize val="0"/>
        </c:dLbls>
        <c:gapWidth val="150"/>
        <c:overlap val="100"/>
        <c:axId val="1953064943"/>
        <c:axId val="1953067343"/>
      </c:barChart>
      <c:catAx>
        <c:axId val="19530649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3067343"/>
        <c:crosses val="autoZero"/>
        <c:auto val="1"/>
        <c:lblAlgn val="ctr"/>
        <c:lblOffset val="100"/>
        <c:noMultiLvlLbl val="0"/>
      </c:catAx>
      <c:valAx>
        <c:axId val="1953067343"/>
        <c:scaling>
          <c:orientation val="minMax"/>
          <c:max val="100"/>
        </c:scaling>
        <c:delete val="1"/>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b="0" i="0" u="none" strike="noStrike" baseline="0">
                    <a:effectLst/>
                  </a:rPr>
                  <a:t>Employment by sector, 2022 (%)</a:t>
                </a:r>
                <a:endParaRPr lang="en-US" sz="1050"/>
              </a:p>
            </c:rich>
          </c:tx>
          <c:layout>
            <c:manualLayout>
              <c:xMode val="edge"/>
              <c:yMode val="edge"/>
              <c:x val="0.37829786395720882"/>
              <c:y val="2.8635323895680277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quot;%&quot;" sourceLinked="1"/>
        <c:majorTickMark val="none"/>
        <c:minorTickMark val="none"/>
        <c:tickLblPos val="nextTo"/>
        <c:crossAx val="1953064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900"/>
              <a:t>Share of firms with female participation in ownership</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539940702787974E-2"/>
          <c:y val="0.16498433014261504"/>
          <c:w val="0.83292011859442405"/>
          <c:h val="0.66991340952882095"/>
        </c:manualLayout>
      </c:layout>
      <c:barChart>
        <c:barDir val="col"/>
        <c:grouping val="clustered"/>
        <c:varyColors val="0"/>
        <c:ser>
          <c:idx val="1"/>
          <c:order val="0"/>
          <c:tx>
            <c:strRef>
              <c:f>'Section I_Fig3'!$A$3</c:f>
              <c:strCache>
                <c:ptCount val="1"/>
                <c:pt idx="0">
                  <c:v>Latin America and Caribbean</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I_Fig3'!$I$1</c:f>
              <c:strCache>
                <c:ptCount val="1"/>
                <c:pt idx="0">
                  <c:v>Share of firms with female participation in ownership</c:v>
                </c:pt>
              </c:strCache>
            </c:strRef>
          </c:cat>
          <c:val>
            <c:numRef>
              <c:f>'Section I_Fig3'!$I$3</c:f>
              <c:numCache>
                <c:formatCode>#0"%"</c:formatCode>
                <c:ptCount val="1"/>
                <c:pt idx="0">
                  <c:v>47.368749999999999</c:v>
                </c:pt>
              </c:numCache>
            </c:numRef>
          </c:val>
          <c:extLst>
            <c:ext xmlns:c16="http://schemas.microsoft.com/office/drawing/2014/chart" uri="{C3380CC4-5D6E-409C-BE32-E72D297353CC}">
              <c16:uniqueId val="{00000000-3FE2-44A4-B606-FE292382D709}"/>
            </c:ext>
          </c:extLst>
        </c:ser>
        <c:ser>
          <c:idx val="2"/>
          <c:order val="1"/>
          <c:tx>
            <c:strRef>
              <c:f>'Section I_Fig3'!$A$4</c:f>
              <c:strCache>
                <c:ptCount val="1"/>
                <c:pt idx="0">
                  <c:v>Europe and Central Asia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I_Fig3'!$I$1</c:f>
              <c:strCache>
                <c:ptCount val="1"/>
                <c:pt idx="0">
                  <c:v>Share of firms with female participation in ownership</c:v>
                </c:pt>
              </c:strCache>
            </c:strRef>
          </c:cat>
          <c:val>
            <c:numRef>
              <c:f>'Section I_Fig3'!$I$4</c:f>
              <c:numCache>
                <c:formatCode>#0"%"</c:formatCode>
                <c:ptCount val="1"/>
                <c:pt idx="0">
                  <c:v>34.088636363636368</c:v>
                </c:pt>
              </c:numCache>
            </c:numRef>
          </c:val>
          <c:extLst>
            <c:ext xmlns:c16="http://schemas.microsoft.com/office/drawing/2014/chart" uri="{C3380CC4-5D6E-409C-BE32-E72D297353CC}">
              <c16:uniqueId val="{00000001-3FE2-44A4-B606-FE292382D709}"/>
            </c:ext>
          </c:extLst>
        </c:ser>
        <c:ser>
          <c:idx val="3"/>
          <c:order val="2"/>
          <c:tx>
            <c:strRef>
              <c:f>'Section I_Fig3'!$A$5</c:f>
              <c:strCache>
                <c:ptCount val="1"/>
                <c:pt idx="0">
                  <c:v>East Asia and Pacific</c:v>
                </c:pt>
              </c:strCache>
            </c:strRef>
          </c:tx>
          <c:spPr>
            <a:solidFill>
              <a:srgbClr val="A6A6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I_Fig3'!$I$1</c:f>
              <c:strCache>
                <c:ptCount val="1"/>
                <c:pt idx="0">
                  <c:v>Share of firms with female participation in ownership</c:v>
                </c:pt>
              </c:strCache>
            </c:strRef>
          </c:cat>
          <c:val>
            <c:numRef>
              <c:f>'Section I_Fig3'!$I$5</c:f>
              <c:numCache>
                <c:formatCode>#0"%"</c:formatCode>
                <c:ptCount val="1"/>
                <c:pt idx="0">
                  <c:v>44.176470588235297</c:v>
                </c:pt>
              </c:numCache>
            </c:numRef>
          </c:val>
          <c:extLst>
            <c:ext xmlns:c16="http://schemas.microsoft.com/office/drawing/2014/chart" uri="{C3380CC4-5D6E-409C-BE32-E72D297353CC}">
              <c16:uniqueId val="{00000002-3FE2-44A4-B606-FE292382D709}"/>
            </c:ext>
          </c:extLst>
        </c:ser>
        <c:ser>
          <c:idx val="4"/>
          <c:order val="3"/>
          <c:tx>
            <c:strRef>
              <c:f>'Section I_Fig3'!$A$6</c:f>
              <c:strCache>
                <c:ptCount val="1"/>
                <c:pt idx="0">
                  <c:v>Sub-Saharan Africa</c:v>
                </c:pt>
              </c:strCache>
            </c:strRef>
          </c:tx>
          <c:spPr>
            <a:solidFill>
              <a:srgbClr val="FFFF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I_Fig3'!$I$1</c:f>
              <c:strCache>
                <c:ptCount val="1"/>
                <c:pt idx="0">
                  <c:v>Share of firms with female participation in ownership</c:v>
                </c:pt>
              </c:strCache>
            </c:strRef>
          </c:cat>
          <c:val>
            <c:numRef>
              <c:f>'Section I_Fig3'!$I$6</c:f>
              <c:numCache>
                <c:formatCode>#0"%"</c:formatCode>
                <c:ptCount val="1"/>
                <c:pt idx="0">
                  <c:v>29.86571428571429</c:v>
                </c:pt>
              </c:numCache>
            </c:numRef>
          </c:val>
          <c:extLst>
            <c:ext xmlns:c16="http://schemas.microsoft.com/office/drawing/2014/chart" uri="{C3380CC4-5D6E-409C-BE32-E72D297353CC}">
              <c16:uniqueId val="{00000003-3FE2-44A4-B606-FE292382D709}"/>
            </c:ext>
          </c:extLst>
        </c:ser>
        <c:ser>
          <c:idx val="5"/>
          <c:order val="4"/>
          <c:tx>
            <c:strRef>
              <c:f>'Section I_Fig3'!$A$7</c:f>
              <c:strCache>
                <c:ptCount val="1"/>
                <c:pt idx="0">
                  <c:v>South Asia</c:v>
                </c:pt>
              </c:strCache>
            </c:strRef>
          </c:tx>
          <c:spPr>
            <a:solidFill>
              <a:srgbClr val="4E95D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I_Fig3'!$I$1</c:f>
              <c:strCache>
                <c:ptCount val="1"/>
                <c:pt idx="0">
                  <c:v>Share of firms with female participation in ownership</c:v>
                </c:pt>
              </c:strCache>
            </c:strRef>
          </c:cat>
          <c:val>
            <c:numRef>
              <c:f>'Section I_Fig3'!$I$7</c:f>
              <c:numCache>
                <c:formatCode>#0"%"</c:formatCode>
                <c:ptCount val="1"/>
                <c:pt idx="0">
                  <c:v>12.616666666666667</c:v>
                </c:pt>
              </c:numCache>
            </c:numRef>
          </c:val>
          <c:extLst>
            <c:ext xmlns:c16="http://schemas.microsoft.com/office/drawing/2014/chart" uri="{C3380CC4-5D6E-409C-BE32-E72D297353CC}">
              <c16:uniqueId val="{00000004-3FE2-44A4-B606-FE292382D709}"/>
            </c:ext>
          </c:extLst>
        </c:ser>
        <c:ser>
          <c:idx val="6"/>
          <c:order val="5"/>
          <c:tx>
            <c:strRef>
              <c:f>'Section I_Fig3'!$A$8</c:f>
              <c:strCache>
                <c:ptCount val="1"/>
                <c:pt idx="0">
                  <c:v>Arab Region</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'Section I_Fig3'!$I$1</c:f>
              <c:strCache>
                <c:ptCount val="1"/>
                <c:pt idx="0">
                  <c:v>Share of firms with female participation in ownership</c:v>
                </c:pt>
              </c:strCache>
            </c:strRef>
          </c:cat>
          <c:val>
            <c:numRef>
              <c:f>'Section I_Fig3'!$I$8</c:f>
              <c:numCache>
                <c:formatCode>#0"%"</c:formatCode>
                <c:ptCount val="1"/>
                <c:pt idx="0">
                  <c:v>13.56</c:v>
                </c:pt>
              </c:numCache>
            </c:numRef>
          </c:val>
          <c:extLst>
            <c:ext xmlns:c16="http://schemas.microsoft.com/office/drawing/2014/chart" uri="{C3380CC4-5D6E-409C-BE32-E72D297353CC}">
              <c16:uniqueId val="{00000005-3FE2-44A4-B606-FE292382D709}"/>
            </c:ext>
          </c:extLst>
        </c:ser>
        <c:dLbls>
          <c:dLblPos val="outEnd"/>
          <c:showLegendKey val="0"/>
          <c:showVal val="1"/>
          <c:showCatName val="0"/>
          <c:showSerName val="0"/>
          <c:showPercent val="0"/>
          <c:showBubbleSize val="0"/>
        </c:dLbls>
        <c:gapWidth val="11"/>
        <c:axId val="1332308511"/>
        <c:axId val="1332309471"/>
        <c:extLst/>
      </c:barChart>
      <c:catAx>
        <c:axId val="1332308511"/>
        <c:scaling>
          <c:orientation val="minMax"/>
        </c:scaling>
        <c:delete val="1"/>
        <c:axPos val="b"/>
        <c:numFmt formatCode="General" sourceLinked="1"/>
        <c:majorTickMark val="none"/>
        <c:minorTickMark val="none"/>
        <c:tickLblPos val="nextTo"/>
        <c:crossAx val="1332309471"/>
        <c:crosses val="autoZero"/>
        <c:auto val="1"/>
        <c:lblAlgn val="ctr"/>
        <c:lblOffset val="100"/>
        <c:noMultiLvlLbl val="0"/>
      </c:catAx>
      <c:valAx>
        <c:axId val="1332309471"/>
        <c:scaling>
          <c:orientation val="minMax"/>
        </c:scaling>
        <c:delete val="1"/>
        <c:axPos val="l"/>
        <c:numFmt formatCode="#0&quot;%&quot;" sourceLinked="1"/>
        <c:majorTickMark val="none"/>
        <c:minorTickMark val="none"/>
        <c:tickLblPos val="nextTo"/>
        <c:crossAx val="133230851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State of Palestine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1"/>
          <c:order val="0"/>
          <c:tx>
            <c:strRef>
              <c:f>'G10_10.3.1 Discrimination'!$B$6</c:f>
              <c:strCache>
                <c:ptCount val="1"/>
                <c:pt idx="0">
                  <c:v>MALE</c:v>
                </c:pt>
              </c:strCache>
            </c:strRef>
          </c:tx>
          <c:spPr>
            <a:ln w="28575" cap="rnd">
              <a:solidFill>
                <a:schemeClr val="accent2"/>
              </a:solidFill>
              <a:round/>
            </a:ln>
            <a:effectLst/>
          </c:spPr>
          <c:marker>
            <c:symbol val="none"/>
          </c:marker>
          <c:cat>
            <c:strRef>
              <c:f>'G10_10.3.1 Discrimination'!$D$2:$I$2</c:f>
              <c:strCache>
                <c:ptCount val="6"/>
                <c:pt idx="0">
                  <c:v>Age</c:v>
                </c:pt>
                <c:pt idx="1">
                  <c:v>Sex</c:v>
                </c:pt>
                <c:pt idx="2">
                  <c:v>Marital and family status</c:v>
                </c:pt>
                <c:pt idx="3">
                  <c:v>Political opinion</c:v>
                </c:pt>
                <c:pt idx="4">
                  <c:v>Religion or belief</c:v>
                </c:pt>
                <c:pt idx="5">
                  <c:v>Ethnicity, colour, language</c:v>
                </c:pt>
              </c:strCache>
            </c:strRef>
          </c:cat>
          <c:val>
            <c:numRef>
              <c:f>'G10_10.3.1 Discrimination'!$D$6:$I$6</c:f>
              <c:numCache>
                <c:formatCode>#,##0.0"%"</c:formatCode>
                <c:ptCount val="6"/>
                <c:pt idx="0">
                  <c:v>0.8</c:v>
                </c:pt>
                <c:pt idx="1">
                  <c:v>1.1000000000000001</c:v>
                </c:pt>
                <c:pt idx="2">
                  <c:v>1.8</c:v>
                </c:pt>
                <c:pt idx="3">
                  <c:v>2.7</c:v>
                </c:pt>
                <c:pt idx="4">
                  <c:v>0.5</c:v>
                </c:pt>
                <c:pt idx="5">
                  <c:v>0.2</c:v>
                </c:pt>
              </c:numCache>
            </c:numRef>
          </c:val>
          <c:extLst>
            <c:ext xmlns:c16="http://schemas.microsoft.com/office/drawing/2014/chart" uri="{C3380CC4-5D6E-409C-BE32-E72D297353CC}">
              <c16:uniqueId val="{00000000-8E01-4033-8B3F-B832A1279A1B}"/>
            </c:ext>
          </c:extLst>
        </c:ser>
        <c:ser>
          <c:idx val="0"/>
          <c:order val="1"/>
          <c:tx>
            <c:strRef>
              <c:f>'G10_10.3.1 Discrimination'!$B$5</c:f>
              <c:strCache>
                <c:ptCount val="1"/>
                <c:pt idx="0">
                  <c:v>FEMALE</c:v>
                </c:pt>
              </c:strCache>
            </c:strRef>
          </c:tx>
          <c:spPr>
            <a:ln w="28575" cap="rnd">
              <a:solidFill>
                <a:schemeClr val="accent1"/>
              </a:solidFill>
              <a:round/>
            </a:ln>
            <a:effectLst/>
          </c:spPr>
          <c:marker>
            <c:symbol val="none"/>
          </c:marker>
          <c:cat>
            <c:strRef>
              <c:f>'G10_10.3.1 Discrimination'!$D$2:$I$2</c:f>
              <c:strCache>
                <c:ptCount val="6"/>
                <c:pt idx="0">
                  <c:v>Age</c:v>
                </c:pt>
                <c:pt idx="1">
                  <c:v>Sex</c:v>
                </c:pt>
                <c:pt idx="2">
                  <c:v>Marital and family status</c:v>
                </c:pt>
                <c:pt idx="3">
                  <c:v>Political opinion</c:v>
                </c:pt>
                <c:pt idx="4">
                  <c:v>Religion or belief</c:v>
                </c:pt>
                <c:pt idx="5">
                  <c:v>Ethnicity, colour, language</c:v>
                </c:pt>
              </c:strCache>
            </c:strRef>
          </c:cat>
          <c:val>
            <c:numRef>
              <c:f>'G10_10.3.1 Discrimination'!$D$5:$I$5</c:f>
              <c:numCache>
                <c:formatCode>#,##0.0"%"</c:formatCode>
                <c:ptCount val="6"/>
                <c:pt idx="0">
                  <c:v>0.9</c:v>
                </c:pt>
                <c:pt idx="1">
                  <c:v>1.4</c:v>
                </c:pt>
                <c:pt idx="2">
                  <c:v>1.9</c:v>
                </c:pt>
                <c:pt idx="3">
                  <c:v>0.4</c:v>
                </c:pt>
                <c:pt idx="4">
                  <c:v>0.8</c:v>
                </c:pt>
                <c:pt idx="5">
                  <c:v>0.2</c:v>
                </c:pt>
              </c:numCache>
            </c:numRef>
          </c:val>
          <c:extLst>
            <c:ext xmlns:c16="http://schemas.microsoft.com/office/drawing/2014/chart" uri="{C3380CC4-5D6E-409C-BE32-E72D297353CC}">
              <c16:uniqueId val="{00000001-8E01-4033-8B3F-B832A1279A1B}"/>
            </c:ext>
          </c:extLst>
        </c:ser>
        <c:dLbls>
          <c:showLegendKey val="0"/>
          <c:showVal val="0"/>
          <c:showCatName val="0"/>
          <c:showSerName val="0"/>
          <c:showPercent val="0"/>
          <c:showBubbleSize val="0"/>
        </c:dLbls>
        <c:axId val="1323951504"/>
        <c:axId val="1323947664"/>
      </c:radarChart>
      <c:catAx>
        <c:axId val="1323951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3947664"/>
        <c:crosses val="autoZero"/>
        <c:auto val="1"/>
        <c:lblAlgn val="ctr"/>
        <c:lblOffset val="100"/>
        <c:noMultiLvlLbl val="0"/>
      </c:catAx>
      <c:valAx>
        <c:axId val="1323947664"/>
        <c:scaling>
          <c:orientation val="minMax"/>
          <c:max val="2.8"/>
        </c:scaling>
        <c:delete val="1"/>
        <c:axPos val="l"/>
        <c:majorGridlines>
          <c:spPr>
            <a:ln w="9525" cap="flat" cmpd="sng" algn="ctr">
              <a:solidFill>
                <a:schemeClr val="tx1">
                  <a:lumMod val="15000"/>
                  <a:lumOff val="85000"/>
                </a:schemeClr>
              </a:solidFill>
              <a:round/>
            </a:ln>
            <a:effectLst/>
          </c:spPr>
        </c:majorGridlines>
        <c:numFmt formatCode="#,##0.0&quot;%&quot;" sourceLinked="1"/>
        <c:majorTickMark val="out"/>
        <c:minorTickMark val="none"/>
        <c:tickLblPos val="nextTo"/>
        <c:crossAx val="1323951504"/>
        <c:crosses val="autoZero"/>
        <c:crossBetween val="between"/>
        <c:majorUnit val="0.70000000000000007"/>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378214686362545E-2"/>
          <c:y val="0.20063693009698769"/>
          <c:w val="0.89122468002485355"/>
          <c:h val="0.55791153280558636"/>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1ABB-46F4-AB7F-E12329AAB5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G10_Fig33!$A$1:$A$2</c:f>
              <c:strCache>
                <c:ptCount val="2"/>
                <c:pt idx="0">
                  <c:v>Arab Region</c:v>
                </c:pt>
                <c:pt idx="1">
                  <c:v>World</c:v>
                </c:pt>
              </c:strCache>
            </c:strRef>
          </c:cat>
          <c:val>
            <c:numRef>
              <c:f>G10_Fig33!$B$1:$B$2</c:f>
              <c:numCache>
                <c:formatCode>#0"%"</c:formatCode>
                <c:ptCount val="2"/>
                <c:pt idx="0">
                  <c:v>14.517999649047852</c:v>
                </c:pt>
                <c:pt idx="1">
                  <c:v>51.834999084472656</c:v>
                </c:pt>
              </c:numCache>
            </c:numRef>
          </c:val>
          <c:extLst>
            <c:ext xmlns:c16="http://schemas.microsoft.com/office/drawing/2014/chart" uri="{C3380CC4-5D6E-409C-BE32-E72D297353CC}">
              <c16:uniqueId val="{00000000-1ABB-46F4-AB7F-E12329AAB50D}"/>
            </c:ext>
          </c:extLst>
        </c:ser>
        <c:dLbls>
          <c:dLblPos val="outEnd"/>
          <c:showLegendKey val="0"/>
          <c:showVal val="1"/>
          <c:showCatName val="0"/>
          <c:showSerName val="0"/>
          <c:showPercent val="0"/>
          <c:showBubbleSize val="0"/>
        </c:dLbls>
        <c:gapWidth val="40"/>
        <c:overlap val="-27"/>
        <c:axId val="1924029791"/>
        <c:axId val="1924027871"/>
      </c:barChart>
      <c:catAx>
        <c:axId val="192402979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baseline="0">
                    <a:effectLst/>
                  </a:rPr>
                  <a:t>Gender income gap ratio, 2024 (%)</a:t>
                </a:r>
                <a:endParaRPr lang="en-US"/>
              </a:p>
            </c:rich>
          </c:tx>
          <c:layout>
            <c:manualLayout>
              <c:xMode val="edge"/>
              <c:yMode val="edge"/>
              <c:x val="0.25621700366011463"/>
              <c:y val="7.36980870594006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4027871"/>
        <c:crosses val="autoZero"/>
        <c:auto val="1"/>
        <c:lblAlgn val="ctr"/>
        <c:lblOffset val="100"/>
        <c:noMultiLvlLbl val="0"/>
      </c:catAx>
      <c:valAx>
        <c:axId val="1924027871"/>
        <c:scaling>
          <c:orientation val="minMax"/>
        </c:scaling>
        <c:delete val="1"/>
        <c:axPos val="l"/>
        <c:numFmt formatCode="#0&quot;%&quot;" sourceLinked="1"/>
        <c:majorTickMark val="none"/>
        <c:minorTickMark val="none"/>
        <c:tickLblPos val="nextTo"/>
        <c:crossAx val="19240297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Proportion of population with lack of essential services in urban areas, 2022</a:t>
            </a:r>
            <a:endParaRPr lang="en-US"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G11_Fig35!$B$1</c:f>
              <c:strCache>
                <c:ptCount val="1"/>
                <c:pt idx="0">
                  <c:v>Value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G11_Fig35!$A$2:$A$6</c:f>
              <c:strCache>
                <c:ptCount val="5"/>
                <c:pt idx="0">
                  <c:v>Basic drinking water</c:v>
                </c:pt>
                <c:pt idx="1">
                  <c:v>Basic sanitation</c:v>
                </c:pt>
                <c:pt idx="2">
                  <c:v>Safe drinking water</c:v>
                </c:pt>
                <c:pt idx="3">
                  <c:v>Safe sanitation</c:v>
                </c:pt>
                <c:pt idx="4">
                  <c:v>Basic handwashing</c:v>
                </c:pt>
              </c:strCache>
            </c:strRef>
          </c:cat>
          <c:val>
            <c:numRef>
              <c:f>G11_Fig35!$B$2:$B$6</c:f>
              <c:numCache>
                <c:formatCode>0%</c:formatCode>
                <c:ptCount val="5"/>
                <c:pt idx="0">
                  <c:v>0.05</c:v>
                </c:pt>
                <c:pt idx="1">
                  <c:v>0.06</c:v>
                </c:pt>
                <c:pt idx="2">
                  <c:v>0.2</c:v>
                </c:pt>
                <c:pt idx="3">
                  <c:v>0.34</c:v>
                </c:pt>
                <c:pt idx="4">
                  <c:v>0.15</c:v>
                </c:pt>
              </c:numCache>
            </c:numRef>
          </c:val>
          <c:extLst>
            <c:ext xmlns:c16="http://schemas.microsoft.com/office/drawing/2014/chart" uri="{C3380CC4-5D6E-409C-BE32-E72D297353CC}">
              <c16:uniqueId val="{00000000-0AB5-465C-A352-35AF0F94FF86}"/>
            </c:ext>
          </c:extLst>
        </c:ser>
        <c:dLbls>
          <c:dLblPos val="outEnd"/>
          <c:showLegendKey val="0"/>
          <c:showVal val="1"/>
          <c:showCatName val="0"/>
          <c:showSerName val="0"/>
          <c:showPercent val="0"/>
          <c:showBubbleSize val="0"/>
        </c:dLbls>
        <c:gapWidth val="219"/>
        <c:overlap val="-27"/>
        <c:axId val="624453471"/>
        <c:axId val="1721291935"/>
      </c:barChart>
      <c:catAx>
        <c:axId val="624453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1291935"/>
        <c:crosses val="autoZero"/>
        <c:auto val="1"/>
        <c:lblAlgn val="ctr"/>
        <c:lblOffset val="100"/>
        <c:noMultiLvlLbl val="0"/>
      </c:catAx>
      <c:valAx>
        <c:axId val="1721291935"/>
        <c:scaling>
          <c:orientation val="minMax"/>
        </c:scaling>
        <c:delete val="1"/>
        <c:axPos val="l"/>
        <c:numFmt formatCode="0%" sourceLinked="1"/>
        <c:majorTickMark val="none"/>
        <c:minorTickMark val="none"/>
        <c:tickLblPos val="nextTo"/>
        <c:crossAx val="6244534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05346581317098"/>
          <c:y val="0.15424164524421594"/>
          <c:w val="0.837238642699766"/>
          <c:h val="0.68794283747950524"/>
        </c:manualLayout>
      </c:layout>
      <c:barChart>
        <c:barDir val="bar"/>
        <c:grouping val="stacked"/>
        <c:varyColors val="0"/>
        <c:ser>
          <c:idx val="0"/>
          <c:order val="0"/>
          <c:tx>
            <c:strRef>
              <c:f>'Fig36'!$B$1</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'Fig36'!$A$2:$A$7</c:f>
              <c:strCache>
                <c:ptCount val="6"/>
                <c:pt idx="0">
                  <c:v>Lebanon, 1998</c:v>
                </c:pt>
                <c:pt idx="1">
                  <c:v>Tunisia, 2005</c:v>
                </c:pt>
                <c:pt idx="2">
                  <c:v>Egypt, 1999</c:v>
                </c:pt>
                <c:pt idx="3">
                  <c:v>Morocco, 1996</c:v>
                </c:pt>
                <c:pt idx="4">
                  <c:v>Algeria, 2001</c:v>
                </c:pt>
                <c:pt idx="5">
                  <c:v>Jordan, 1997</c:v>
                </c:pt>
              </c:strCache>
            </c:strRef>
          </c:cat>
          <c:val>
            <c:numRef>
              <c:f>'Fig36'!$B$2:$B$7</c:f>
              <c:numCache>
                <c:formatCode>0%</c:formatCode>
                <c:ptCount val="6"/>
                <c:pt idx="0">
                  <c:v>7.0999999999999994E-2</c:v>
                </c:pt>
                <c:pt idx="1">
                  <c:v>6.4000000000000001E-2</c:v>
                </c:pt>
                <c:pt idx="2">
                  <c:v>5.1999999999999998E-2</c:v>
                </c:pt>
                <c:pt idx="3">
                  <c:v>4.3999999999999997E-2</c:v>
                </c:pt>
                <c:pt idx="4">
                  <c:v>4.1000000000000002E-2</c:v>
                </c:pt>
                <c:pt idx="5">
                  <c:v>0.03</c:v>
                </c:pt>
              </c:numCache>
            </c:numRef>
          </c:val>
          <c:extLst>
            <c:ext xmlns:c16="http://schemas.microsoft.com/office/drawing/2014/chart" uri="{C3380CC4-5D6E-409C-BE32-E72D297353CC}">
              <c16:uniqueId val="{00000000-5984-4CE3-BBD9-D4AB6727D419}"/>
            </c:ext>
          </c:extLst>
        </c:ser>
        <c:ser>
          <c:idx val="1"/>
          <c:order val="1"/>
          <c:tx>
            <c:strRef>
              <c:f>'Fig36'!$C$1</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'Fig36'!$A$2:$A$7</c:f>
              <c:strCache>
                <c:ptCount val="6"/>
                <c:pt idx="0">
                  <c:v>Lebanon, 1998</c:v>
                </c:pt>
                <c:pt idx="1">
                  <c:v>Tunisia, 2005</c:v>
                </c:pt>
                <c:pt idx="2">
                  <c:v>Egypt, 1999</c:v>
                </c:pt>
                <c:pt idx="3">
                  <c:v>Morocco, 1996</c:v>
                </c:pt>
                <c:pt idx="4">
                  <c:v>Algeria, 2001</c:v>
                </c:pt>
                <c:pt idx="5">
                  <c:v>Jordan, 1997</c:v>
                </c:pt>
              </c:strCache>
            </c:strRef>
          </c:cat>
          <c:val>
            <c:numRef>
              <c:f>'Fig36'!$C$2:$C$7</c:f>
              <c:numCache>
                <c:formatCode>0%</c:formatCode>
                <c:ptCount val="6"/>
                <c:pt idx="0">
                  <c:v>0.92600000000000005</c:v>
                </c:pt>
                <c:pt idx="1">
                  <c:v>0.93600000000000005</c:v>
                </c:pt>
                <c:pt idx="2">
                  <c:v>0.94799999999999995</c:v>
                </c:pt>
                <c:pt idx="3">
                  <c:v>0.95599999999999996</c:v>
                </c:pt>
                <c:pt idx="4">
                  <c:v>0.95899999999999996</c:v>
                </c:pt>
                <c:pt idx="5">
                  <c:v>0.97</c:v>
                </c:pt>
              </c:numCache>
            </c:numRef>
          </c:val>
          <c:extLst>
            <c:ext xmlns:c16="http://schemas.microsoft.com/office/drawing/2014/chart" uri="{C3380CC4-5D6E-409C-BE32-E72D297353CC}">
              <c16:uniqueId val="{00000001-5984-4CE3-BBD9-D4AB6727D419}"/>
            </c:ext>
          </c:extLst>
        </c:ser>
        <c:dLbls>
          <c:dLblPos val="ctr"/>
          <c:showLegendKey val="0"/>
          <c:showVal val="1"/>
          <c:showCatName val="0"/>
          <c:showSerName val="0"/>
          <c:showPercent val="0"/>
          <c:showBubbleSize val="0"/>
        </c:dLbls>
        <c:gapWidth val="150"/>
        <c:overlap val="100"/>
        <c:axId val="1683660255"/>
        <c:axId val="1683658335"/>
      </c:barChart>
      <c:catAx>
        <c:axId val="16836602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3658335"/>
        <c:crosses val="autoZero"/>
        <c:auto val="1"/>
        <c:lblAlgn val="ctr"/>
        <c:lblOffset val="100"/>
        <c:noMultiLvlLbl val="0"/>
      </c:catAx>
      <c:valAx>
        <c:axId val="1683658335"/>
        <c:scaling>
          <c:orientation val="minMax"/>
          <c:max val="1"/>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effectLst/>
                  </a:rPr>
                  <a:t>Land tenure (Percentage)</a:t>
                </a:r>
              </a:p>
            </c:rich>
          </c:tx>
          <c:layout>
            <c:manualLayout>
              <c:xMode val="edge"/>
              <c:yMode val="edge"/>
              <c:x val="0.42238459200768508"/>
              <c:y val="3.4986539278991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crossAx val="1683660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59421173375265E-2"/>
          <c:y val="3.8138209697472024E-2"/>
          <c:w val="0.85829135449922189"/>
          <c:h val="0.85239908827186073"/>
        </c:manualLayout>
      </c:layout>
      <c:areaChart>
        <c:grouping val="standard"/>
        <c:varyColors val="0"/>
        <c:ser>
          <c:idx val="0"/>
          <c:order val="0"/>
          <c:spPr>
            <a:solidFill>
              <a:srgbClr val="E56A54"/>
            </a:solidFill>
            <a:ln>
              <a:noFill/>
            </a:ln>
            <a:effectLst/>
          </c:spPr>
          <c:dLbls>
            <c:delete val="1"/>
          </c:dLbls>
          <c:cat>
            <c:strRef>
              <c:f>'Fig37'!$P$5:$P$19</c:f>
              <c:strCache>
                <c:ptCount val="15"/>
                <c:pt idx="0">
                  <c:v>by 30 November 2024</c:v>
                </c:pt>
                <c:pt idx="1">
                  <c:v>by 31 October 2024</c:v>
                </c:pt>
                <c:pt idx="2">
                  <c:v>by 30 September 2024</c:v>
                </c:pt>
                <c:pt idx="3">
                  <c:v>by 31 August 2024</c:v>
                </c:pt>
                <c:pt idx="4">
                  <c:v>by 31 July 2024</c:v>
                </c:pt>
                <c:pt idx="5">
                  <c:v>by 30 June 2024</c:v>
                </c:pt>
                <c:pt idx="6">
                  <c:v>by 31 May 2024</c:v>
                </c:pt>
                <c:pt idx="7">
                  <c:v>by 30 April 2024</c:v>
                </c:pt>
                <c:pt idx="8">
                  <c:v>by 31 March 2024</c:v>
                </c:pt>
                <c:pt idx="9">
                  <c:v>by 29 February 2024</c:v>
                </c:pt>
                <c:pt idx="10">
                  <c:v>by 31 January 2024</c:v>
                </c:pt>
                <c:pt idx="11">
                  <c:v>by 31 December 2023</c:v>
                </c:pt>
                <c:pt idx="12">
                  <c:v>by 30 November 2023</c:v>
                </c:pt>
                <c:pt idx="13">
                  <c:v>by 31 October 2023</c:v>
                </c:pt>
                <c:pt idx="14">
                  <c:v>7 Ocotber</c:v>
                </c:pt>
              </c:strCache>
            </c:strRef>
          </c:cat>
          <c:val>
            <c:numRef>
              <c:f>'Fig37'!$Q$5:$Q$19</c:f>
              <c:numCache>
                <c:formatCode>General</c:formatCode>
                <c:ptCount val="15"/>
                <c:pt idx="0">
                  <c:v>44382</c:v>
                </c:pt>
                <c:pt idx="1">
                  <c:v>43204</c:v>
                </c:pt>
                <c:pt idx="2">
                  <c:v>41615</c:v>
                </c:pt>
                <c:pt idx="3">
                  <c:v>40738</c:v>
                </c:pt>
                <c:pt idx="4">
                  <c:v>39445</c:v>
                </c:pt>
                <c:pt idx="5">
                  <c:v>37900</c:v>
                </c:pt>
                <c:pt idx="6">
                  <c:v>36284</c:v>
                </c:pt>
                <c:pt idx="7">
                  <c:v>34535</c:v>
                </c:pt>
                <c:pt idx="8">
                  <c:v>32782</c:v>
                </c:pt>
                <c:pt idx="9">
                  <c:v>30035</c:v>
                </c:pt>
                <c:pt idx="10">
                  <c:v>27131</c:v>
                </c:pt>
                <c:pt idx="11">
                  <c:v>22185</c:v>
                </c:pt>
                <c:pt idx="12">
                  <c:v>15207</c:v>
                </c:pt>
                <c:pt idx="13">
                  <c:v>8005</c:v>
                </c:pt>
                <c:pt idx="14">
                  <c:v>0</c:v>
                </c:pt>
              </c:numCache>
            </c:numRef>
          </c:val>
          <c:extLst>
            <c:ext xmlns:c16="http://schemas.microsoft.com/office/drawing/2014/chart" uri="{C3380CC4-5D6E-409C-BE32-E72D297353CC}">
              <c16:uniqueId val="{00000000-7A55-46F3-9458-DBCA3F15B47A}"/>
            </c:ext>
          </c:extLst>
        </c:ser>
        <c:dLbls>
          <c:showLegendKey val="0"/>
          <c:showVal val="1"/>
          <c:showCatName val="0"/>
          <c:showSerName val="0"/>
          <c:showPercent val="0"/>
          <c:showBubbleSize val="0"/>
        </c:dLbls>
        <c:axId val="2005409151"/>
        <c:axId val="2005409631"/>
      </c:areaChart>
      <c:scatterChart>
        <c:scatterStyle val="lineMarker"/>
        <c:varyColors val="0"/>
        <c:ser>
          <c:idx val="1"/>
          <c:order val="1"/>
          <c:spPr>
            <a:ln w="25400" cap="rnd">
              <a:noFill/>
              <a:round/>
            </a:ln>
            <a:effectLst/>
          </c:spPr>
          <c:marker>
            <c:symbol val="none"/>
          </c:marker>
          <c:dLbls>
            <c:dLbl>
              <c:idx val="0"/>
              <c:tx>
                <c:rich>
                  <a:bodyPr/>
                  <a:lstStyle/>
                  <a:p>
                    <a:fld id="{619FD837-981F-4B28-A3AF-AB0C21A935C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8CC-4437-B601-B63EADF23357}"/>
                </c:ext>
              </c:extLst>
            </c:dLbl>
            <c:dLbl>
              <c:idx val="1"/>
              <c:tx>
                <c:rich>
                  <a:bodyPr/>
                  <a:lstStyle/>
                  <a:p>
                    <a:fld id="{6EAD4C33-4E8A-43F9-94CE-6A013AFF3DE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8CC-4437-B601-B63EADF23357}"/>
                </c:ext>
              </c:extLst>
            </c:dLbl>
            <c:dLbl>
              <c:idx val="2"/>
              <c:tx>
                <c:rich>
                  <a:bodyPr/>
                  <a:lstStyle/>
                  <a:p>
                    <a:fld id="{22D31CC5-1F57-4093-87DD-8BF4ABC26FD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8CC-4437-B601-B63EADF23357}"/>
                </c:ext>
              </c:extLst>
            </c:dLbl>
            <c:dLbl>
              <c:idx val="3"/>
              <c:tx>
                <c:rich>
                  <a:bodyPr/>
                  <a:lstStyle/>
                  <a:p>
                    <a:fld id="{F9F24A5D-43C8-415A-BFDB-871C77A801D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8CC-4437-B601-B63EADF23357}"/>
                </c:ext>
              </c:extLst>
            </c:dLbl>
            <c:dLbl>
              <c:idx val="4"/>
              <c:tx>
                <c:rich>
                  <a:bodyPr/>
                  <a:lstStyle/>
                  <a:p>
                    <a:fld id="{89617068-0E40-4B77-80DC-1F97FA7E434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8CC-4437-B601-B63EADF23357}"/>
                </c:ext>
              </c:extLst>
            </c:dLbl>
            <c:dLbl>
              <c:idx val="5"/>
              <c:tx>
                <c:rich>
                  <a:bodyPr/>
                  <a:lstStyle/>
                  <a:p>
                    <a:fld id="{EF21ABCE-7937-4FF6-8CEA-B154740DF77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8CC-4437-B601-B63EADF23357}"/>
                </c:ext>
              </c:extLst>
            </c:dLbl>
            <c:dLbl>
              <c:idx val="6"/>
              <c:tx>
                <c:rich>
                  <a:bodyPr/>
                  <a:lstStyle/>
                  <a:p>
                    <a:fld id="{C2A2F6B8-7720-44FB-BB81-FF16428BE59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8CC-4437-B601-B63EADF23357}"/>
                </c:ext>
              </c:extLst>
            </c:dLbl>
            <c:dLbl>
              <c:idx val="7"/>
              <c:tx>
                <c:rich>
                  <a:bodyPr/>
                  <a:lstStyle/>
                  <a:p>
                    <a:fld id="{98CDDACA-303C-4C55-BADB-591CDBA71E5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8CC-4437-B601-B63EADF23357}"/>
                </c:ext>
              </c:extLst>
            </c:dLbl>
            <c:dLbl>
              <c:idx val="8"/>
              <c:tx>
                <c:rich>
                  <a:bodyPr/>
                  <a:lstStyle/>
                  <a:p>
                    <a:fld id="{C23B9ADD-8283-4339-BE93-61D8123FC85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8CC-4437-B601-B63EADF23357}"/>
                </c:ext>
              </c:extLst>
            </c:dLbl>
            <c:dLbl>
              <c:idx val="9"/>
              <c:tx>
                <c:rich>
                  <a:bodyPr/>
                  <a:lstStyle/>
                  <a:p>
                    <a:fld id="{1D892D68-D79C-4C68-9073-32E4A7D7FD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8CC-4437-B601-B63EADF23357}"/>
                </c:ext>
              </c:extLst>
            </c:dLbl>
            <c:dLbl>
              <c:idx val="10"/>
              <c:tx>
                <c:rich>
                  <a:bodyPr/>
                  <a:lstStyle/>
                  <a:p>
                    <a:fld id="{53AA13AF-302B-4C10-82FE-70ABD763872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8CC-4437-B601-B63EADF23357}"/>
                </c:ext>
              </c:extLst>
            </c:dLbl>
            <c:dLbl>
              <c:idx val="11"/>
              <c:tx>
                <c:rich>
                  <a:bodyPr/>
                  <a:lstStyle/>
                  <a:p>
                    <a:fld id="{D8C82B04-A72B-4711-B38B-0D3A9C78E68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8CC-4437-B601-B63EADF23357}"/>
                </c:ext>
              </c:extLst>
            </c:dLbl>
            <c:dLbl>
              <c:idx val="12"/>
              <c:tx>
                <c:rich>
                  <a:bodyPr/>
                  <a:lstStyle/>
                  <a:p>
                    <a:fld id="{85293653-F490-4773-8AD8-E7B39D9C1BA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8CC-4437-B601-B63EADF23357}"/>
                </c:ext>
              </c:extLst>
            </c:dLbl>
            <c:dLbl>
              <c:idx val="13"/>
              <c:tx>
                <c:rich>
                  <a:bodyPr/>
                  <a:lstStyle/>
                  <a:p>
                    <a:fld id="{7254254A-5208-4571-B6C0-DB61A3A866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8CC-4437-B601-B63EADF23357}"/>
                </c:ext>
              </c:extLst>
            </c:dLbl>
            <c:dLbl>
              <c:idx val="14"/>
              <c:tx>
                <c:rich>
                  <a:bodyPr/>
                  <a:lstStyle/>
                  <a:p>
                    <a:fld id="{ABC0F0E4-637A-4E81-9575-959CB7E8599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28CC-4437-B601-B63EADF2335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yVal>
            <c:numRef>
              <c:f>'Fig37'!$R$5:$R$19</c:f>
              <c:numCache>
                <c:formatCode>General</c:formatCode>
                <c:ptCount val="15"/>
                <c:pt idx="0">
                  <c:v>90000</c:v>
                </c:pt>
                <c:pt idx="1">
                  <c:v>85000</c:v>
                </c:pt>
                <c:pt idx="2">
                  <c:v>80000</c:v>
                </c:pt>
                <c:pt idx="3">
                  <c:v>75000</c:v>
                </c:pt>
                <c:pt idx="4">
                  <c:v>70000</c:v>
                </c:pt>
                <c:pt idx="5">
                  <c:v>65000</c:v>
                </c:pt>
                <c:pt idx="6">
                  <c:v>60000</c:v>
                </c:pt>
                <c:pt idx="7">
                  <c:v>55000</c:v>
                </c:pt>
                <c:pt idx="8">
                  <c:v>50000</c:v>
                </c:pt>
                <c:pt idx="9">
                  <c:v>45000</c:v>
                </c:pt>
                <c:pt idx="10">
                  <c:v>40000</c:v>
                </c:pt>
                <c:pt idx="11">
                  <c:v>35000</c:v>
                </c:pt>
                <c:pt idx="12">
                  <c:v>30000</c:v>
                </c:pt>
                <c:pt idx="13">
                  <c:v>25000</c:v>
                </c:pt>
              </c:numCache>
            </c:numRef>
          </c:yVal>
          <c:smooth val="0"/>
          <c:extLst>
            <c:ext xmlns:c15="http://schemas.microsoft.com/office/drawing/2012/chart" uri="{02D57815-91ED-43cb-92C2-25804820EDAC}">
              <c15:datalabelsRange>
                <c15:f>'Fig37'!$Q$5:$Q$19</c15:f>
                <c15:dlblRangeCache>
                  <c:ptCount val="15"/>
                  <c:pt idx="0">
                    <c:v>44382</c:v>
                  </c:pt>
                  <c:pt idx="1">
                    <c:v>43204</c:v>
                  </c:pt>
                  <c:pt idx="2">
                    <c:v>41615</c:v>
                  </c:pt>
                  <c:pt idx="3">
                    <c:v>40738</c:v>
                  </c:pt>
                  <c:pt idx="4">
                    <c:v>39445</c:v>
                  </c:pt>
                  <c:pt idx="5">
                    <c:v>37900</c:v>
                  </c:pt>
                  <c:pt idx="6">
                    <c:v>36284</c:v>
                  </c:pt>
                  <c:pt idx="7">
                    <c:v>34535</c:v>
                  </c:pt>
                  <c:pt idx="8">
                    <c:v>32782</c:v>
                  </c:pt>
                  <c:pt idx="9">
                    <c:v>30035</c:v>
                  </c:pt>
                  <c:pt idx="10">
                    <c:v>27131</c:v>
                  </c:pt>
                  <c:pt idx="11">
                    <c:v>22185</c:v>
                  </c:pt>
                  <c:pt idx="12">
                    <c:v>15207</c:v>
                  </c:pt>
                  <c:pt idx="13">
                    <c:v>8005</c:v>
                  </c:pt>
                  <c:pt idx="14">
                    <c:v>0</c:v>
                  </c:pt>
                </c15:dlblRangeCache>
              </c15:datalabelsRange>
            </c:ext>
            <c:ext xmlns:c16="http://schemas.microsoft.com/office/drawing/2014/chart" uri="{C3380CC4-5D6E-409C-BE32-E72D297353CC}">
              <c16:uniqueId val="{00000002-28CC-4437-B601-B63EADF23357}"/>
            </c:ext>
          </c:extLst>
        </c:ser>
        <c:dLbls>
          <c:showLegendKey val="0"/>
          <c:showVal val="0"/>
          <c:showCatName val="0"/>
          <c:showSerName val="0"/>
          <c:showPercent val="0"/>
          <c:showBubbleSize val="0"/>
        </c:dLbls>
        <c:axId val="2005409151"/>
        <c:axId val="2005409631"/>
      </c:scatterChart>
      <c:catAx>
        <c:axId val="2005409151"/>
        <c:scaling>
          <c:orientation val="maxMin"/>
        </c:scaling>
        <c:delete val="1"/>
        <c:axPos val="b"/>
        <c:numFmt formatCode="General" sourceLinked="1"/>
        <c:majorTickMark val="out"/>
        <c:minorTickMark val="none"/>
        <c:tickLblPos val="nextTo"/>
        <c:crossAx val="2005409631"/>
        <c:crosses val="autoZero"/>
        <c:auto val="1"/>
        <c:lblAlgn val="ctr"/>
        <c:lblOffset val="100"/>
        <c:noMultiLvlLbl val="0"/>
      </c:catAx>
      <c:valAx>
        <c:axId val="2005409631"/>
        <c:scaling>
          <c:orientation val="minMax"/>
          <c:max val="100000"/>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Daily/cumlative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5409151"/>
        <c:crosses val="autoZero"/>
        <c:crossBetween val="between"/>
        <c:majorUnit val="20000"/>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Number</a:t>
            </a:r>
            <a:r>
              <a:rPr lang="en-US" sz="1000" baseline="0"/>
              <a:t> of detected trafficking victims, by sex</a:t>
            </a:r>
            <a:endParaRPr lang="en-US"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G16_Fig38!$B$1</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G16_Fig38!$A$2:$A$18</c:f>
              <c:strCache>
                <c:ptCount val="17"/>
                <c:pt idx="0">
                  <c:v>Egypt, 2021</c:v>
                </c:pt>
                <c:pt idx="1">
                  <c:v>Sudan, 2018</c:v>
                </c:pt>
                <c:pt idx="2">
                  <c:v>Kuwait, 2017</c:v>
                </c:pt>
                <c:pt idx="3">
                  <c:v>Mauritania, 2017</c:v>
                </c:pt>
                <c:pt idx="4">
                  <c:v>Algeria, 2020</c:v>
                </c:pt>
                <c:pt idx="5">
                  <c:v>Djibouti, 2017</c:v>
                </c:pt>
                <c:pt idx="6">
                  <c:v>Syria, 2020</c:v>
                </c:pt>
                <c:pt idx="7">
                  <c:v>Lebanon, 2021</c:v>
                </c:pt>
                <c:pt idx="8">
                  <c:v>Oman, 2020</c:v>
                </c:pt>
                <c:pt idx="9">
                  <c:v>Qatar, 2021</c:v>
                </c:pt>
                <c:pt idx="10">
                  <c:v>Iraq, 2020</c:v>
                </c:pt>
                <c:pt idx="11">
                  <c:v>UAE, 2020</c:v>
                </c:pt>
                <c:pt idx="12">
                  <c:v>Tunisia, 2020</c:v>
                </c:pt>
                <c:pt idx="13">
                  <c:v>Morocco, 2021</c:v>
                </c:pt>
                <c:pt idx="14">
                  <c:v>Jordan, 2021</c:v>
                </c:pt>
                <c:pt idx="15">
                  <c:v>Bahrain, 2021</c:v>
                </c:pt>
                <c:pt idx="16">
                  <c:v>Saudi Arabia, 2020</c:v>
                </c:pt>
              </c:strCache>
            </c:strRef>
          </c:cat>
          <c:val>
            <c:numRef>
              <c:f>G16_Fig38!$B$2:$B$18</c:f>
              <c:numCache>
                <c:formatCode>General</c:formatCode>
                <c:ptCount val="17"/>
                <c:pt idx="0">
                  <c:v>78</c:v>
                </c:pt>
                <c:pt idx="1">
                  <c:v>148</c:v>
                </c:pt>
                <c:pt idx="2">
                  <c:v>5</c:v>
                </c:pt>
                <c:pt idx="3">
                  <c:v>5</c:v>
                </c:pt>
                <c:pt idx="4">
                  <c:v>5</c:v>
                </c:pt>
                <c:pt idx="5">
                  <c:v>5</c:v>
                </c:pt>
                <c:pt idx="6">
                  <c:v>5</c:v>
                </c:pt>
                <c:pt idx="7">
                  <c:v>54</c:v>
                </c:pt>
                <c:pt idx="8">
                  <c:v>6</c:v>
                </c:pt>
                <c:pt idx="9">
                  <c:v>17</c:v>
                </c:pt>
                <c:pt idx="10">
                  <c:v>13</c:v>
                </c:pt>
                <c:pt idx="11">
                  <c:v>23</c:v>
                </c:pt>
                <c:pt idx="12">
                  <c:v>108</c:v>
                </c:pt>
                <c:pt idx="13">
                  <c:v>100</c:v>
                </c:pt>
                <c:pt idx="14">
                  <c:v>49</c:v>
                </c:pt>
                <c:pt idx="15">
                  <c:v>70</c:v>
                </c:pt>
                <c:pt idx="16">
                  <c:v>146</c:v>
                </c:pt>
              </c:numCache>
            </c:numRef>
          </c:val>
          <c:extLst>
            <c:ext xmlns:c16="http://schemas.microsoft.com/office/drawing/2014/chart" uri="{C3380CC4-5D6E-409C-BE32-E72D297353CC}">
              <c16:uniqueId val="{00000000-711C-415B-B1B3-3ED68D6CF0ED}"/>
            </c:ext>
          </c:extLst>
        </c:ser>
        <c:ser>
          <c:idx val="1"/>
          <c:order val="1"/>
          <c:tx>
            <c:strRef>
              <c:f>G16_Fig38!$C$1</c:f>
              <c:strCache>
                <c:ptCount val="1"/>
                <c:pt idx="0">
                  <c:v>Male</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G16_Fig38!$A$2:$A$18</c:f>
              <c:strCache>
                <c:ptCount val="17"/>
                <c:pt idx="0">
                  <c:v>Egypt, 2021</c:v>
                </c:pt>
                <c:pt idx="1">
                  <c:v>Sudan, 2018</c:v>
                </c:pt>
                <c:pt idx="2">
                  <c:v>Kuwait, 2017</c:v>
                </c:pt>
                <c:pt idx="3">
                  <c:v>Mauritania, 2017</c:v>
                </c:pt>
                <c:pt idx="4">
                  <c:v>Algeria, 2020</c:v>
                </c:pt>
                <c:pt idx="5">
                  <c:v>Djibouti, 2017</c:v>
                </c:pt>
                <c:pt idx="6">
                  <c:v>Syria, 2020</c:v>
                </c:pt>
                <c:pt idx="7">
                  <c:v>Lebanon, 2021</c:v>
                </c:pt>
                <c:pt idx="8">
                  <c:v>Oman, 2020</c:v>
                </c:pt>
                <c:pt idx="9">
                  <c:v>Qatar, 2021</c:v>
                </c:pt>
                <c:pt idx="10">
                  <c:v>Iraq, 2020</c:v>
                </c:pt>
                <c:pt idx="11">
                  <c:v>UAE, 2020</c:v>
                </c:pt>
                <c:pt idx="12">
                  <c:v>Tunisia, 2020</c:v>
                </c:pt>
                <c:pt idx="13">
                  <c:v>Morocco, 2021</c:v>
                </c:pt>
                <c:pt idx="14">
                  <c:v>Jordan, 2021</c:v>
                </c:pt>
                <c:pt idx="15">
                  <c:v>Bahrain, 2021</c:v>
                </c:pt>
                <c:pt idx="16">
                  <c:v>Saudi Arabia, 2020</c:v>
                </c:pt>
              </c:strCache>
            </c:strRef>
          </c:cat>
          <c:val>
            <c:numRef>
              <c:f>G16_Fig38!$C$2:$C$18</c:f>
              <c:numCache>
                <c:formatCode>General</c:formatCode>
                <c:ptCount val="17"/>
                <c:pt idx="0">
                  <c:v>218</c:v>
                </c:pt>
                <c:pt idx="1">
                  <c:v>273</c:v>
                </c:pt>
                <c:pt idx="2">
                  <c:v>43</c:v>
                </c:pt>
                <c:pt idx="3">
                  <c:v>5</c:v>
                </c:pt>
                <c:pt idx="4">
                  <c:v>5</c:v>
                </c:pt>
                <c:pt idx="5">
                  <c:v>5</c:v>
                </c:pt>
                <c:pt idx="6">
                  <c:v>5</c:v>
                </c:pt>
                <c:pt idx="7">
                  <c:v>53</c:v>
                </c:pt>
                <c:pt idx="8">
                  <c:v>5</c:v>
                </c:pt>
                <c:pt idx="9">
                  <c:v>10</c:v>
                </c:pt>
                <c:pt idx="10">
                  <c:v>5</c:v>
                </c:pt>
                <c:pt idx="11">
                  <c:v>5</c:v>
                </c:pt>
                <c:pt idx="12">
                  <c:v>73</c:v>
                </c:pt>
                <c:pt idx="13">
                  <c:v>65</c:v>
                </c:pt>
                <c:pt idx="14">
                  <c:v>12</c:v>
                </c:pt>
                <c:pt idx="15">
                  <c:v>13</c:v>
                </c:pt>
                <c:pt idx="16">
                  <c:v>27</c:v>
                </c:pt>
              </c:numCache>
            </c:numRef>
          </c:val>
          <c:extLst>
            <c:ext xmlns:c16="http://schemas.microsoft.com/office/drawing/2014/chart" uri="{C3380CC4-5D6E-409C-BE32-E72D297353CC}">
              <c16:uniqueId val="{00000001-711C-415B-B1B3-3ED68D6CF0ED}"/>
            </c:ext>
          </c:extLst>
        </c:ser>
        <c:dLbls>
          <c:dLblPos val="outEnd"/>
          <c:showLegendKey val="0"/>
          <c:showVal val="1"/>
          <c:showCatName val="0"/>
          <c:showSerName val="0"/>
          <c:showPercent val="0"/>
          <c:showBubbleSize val="0"/>
        </c:dLbls>
        <c:gapWidth val="219"/>
        <c:overlap val="-27"/>
        <c:axId val="1833028240"/>
        <c:axId val="1833030640"/>
      </c:barChart>
      <c:catAx>
        <c:axId val="183302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3030640"/>
        <c:crosses val="autoZero"/>
        <c:auto val="1"/>
        <c:lblAlgn val="ctr"/>
        <c:lblOffset val="100"/>
        <c:noMultiLvlLbl val="0"/>
      </c:catAx>
      <c:valAx>
        <c:axId val="183303064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3028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effectLst/>
              </a:rPr>
              <a:t>Number of victims of intentional homicide per 100,000 population, 2022</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463A-483F-984A-8C6BFD9B3569}"/>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2-463A-483F-984A-8C6BFD9B3569}"/>
              </c:ext>
            </c:extLst>
          </c:dPt>
          <c:dPt>
            <c:idx val="3"/>
            <c:invertIfNegative val="0"/>
            <c:bubble3D val="0"/>
            <c:spPr>
              <a:solidFill>
                <a:schemeClr val="accent5"/>
              </a:solidFill>
              <a:ln>
                <a:noFill/>
              </a:ln>
              <a:effectLst/>
            </c:spPr>
            <c:extLst>
              <c:ext xmlns:c16="http://schemas.microsoft.com/office/drawing/2014/chart" uri="{C3380CC4-5D6E-409C-BE32-E72D297353CC}">
                <c16:uniqueId val="{00000003-463A-483F-984A-8C6BFD9B3569}"/>
              </c:ext>
            </c:extLst>
          </c:dPt>
          <c:dPt>
            <c:idx val="4"/>
            <c:invertIfNegative val="0"/>
            <c:bubble3D val="0"/>
            <c:spPr>
              <a:solidFill>
                <a:srgbClr val="00B0F0"/>
              </a:solidFill>
              <a:ln>
                <a:noFill/>
              </a:ln>
              <a:effectLst/>
            </c:spPr>
            <c:extLst>
              <c:ext xmlns:c16="http://schemas.microsoft.com/office/drawing/2014/chart" uri="{C3380CC4-5D6E-409C-BE32-E72D297353CC}">
                <c16:uniqueId val="{00000004-463A-483F-984A-8C6BFD9B3569}"/>
              </c:ext>
            </c:extLst>
          </c:dPt>
          <c:dPt>
            <c:idx val="5"/>
            <c:invertIfNegative val="0"/>
            <c:bubble3D val="0"/>
            <c:spPr>
              <a:solidFill>
                <a:schemeClr val="bg1">
                  <a:lumMod val="50000"/>
                </a:schemeClr>
              </a:solidFill>
              <a:ln>
                <a:noFill/>
              </a:ln>
              <a:effectLst/>
            </c:spPr>
            <c:extLst>
              <c:ext xmlns:c16="http://schemas.microsoft.com/office/drawing/2014/chart" uri="{C3380CC4-5D6E-409C-BE32-E72D297353CC}">
                <c16:uniqueId val="{00000005-463A-483F-984A-8C6BFD9B35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G16_Fig39!$A$2:$A$7</c:f>
              <c:strCache>
                <c:ptCount val="6"/>
                <c:pt idx="0">
                  <c:v>Arab LDC</c:v>
                </c:pt>
                <c:pt idx="1">
                  <c:v>Arab Region</c:v>
                </c:pt>
                <c:pt idx="2">
                  <c:v>World</c:v>
                </c:pt>
                <c:pt idx="3">
                  <c:v>Arab Mashreq</c:v>
                </c:pt>
                <c:pt idx="4">
                  <c:v>Arab Maghreb</c:v>
                </c:pt>
                <c:pt idx="5">
                  <c:v>Arab GCC</c:v>
                </c:pt>
              </c:strCache>
            </c:strRef>
          </c:cat>
          <c:val>
            <c:numRef>
              <c:f>G16_Fig39!$B$2:$B$7</c:f>
              <c:numCache>
                <c:formatCode>0%</c:formatCode>
                <c:ptCount val="6"/>
                <c:pt idx="0">
                  <c:v>0.170630226135254</c:v>
                </c:pt>
                <c:pt idx="1">
                  <c:v>6.8252038955688502E-2</c:v>
                </c:pt>
                <c:pt idx="2">
                  <c:v>5.6000000000000001E-2</c:v>
                </c:pt>
                <c:pt idx="3">
                  <c:v>4.8935055732727099E-2</c:v>
                </c:pt>
                <c:pt idx="4">
                  <c:v>3.6280441284179697E-2</c:v>
                </c:pt>
                <c:pt idx="5">
                  <c:v>6.5295469760894799E-3</c:v>
                </c:pt>
              </c:numCache>
            </c:numRef>
          </c:val>
          <c:extLst>
            <c:ext xmlns:c16="http://schemas.microsoft.com/office/drawing/2014/chart" uri="{C3380CC4-5D6E-409C-BE32-E72D297353CC}">
              <c16:uniqueId val="{00000000-463A-483F-984A-8C6BFD9B3569}"/>
            </c:ext>
          </c:extLst>
        </c:ser>
        <c:dLbls>
          <c:dLblPos val="outEnd"/>
          <c:showLegendKey val="0"/>
          <c:showVal val="1"/>
          <c:showCatName val="0"/>
          <c:showSerName val="0"/>
          <c:showPercent val="0"/>
          <c:showBubbleSize val="0"/>
        </c:dLbls>
        <c:gapWidth val="219"/>
        <c:overlap val="-27"/>
        <c:axId val="1797380479"/>
        <c:axId val="1797368959"/>
      </c:barChart>
      <c:catAx>
        <c:axId val="1797380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7368959"/>
        <c:crosses val="autoZero"/>
        <c:auto val="1"/>
        <c:lblAlgn val="ctr"/>
        <c:lblOffset val="100"/>
        <c:noMultiLvlLbl val="0"/>
      </c:catAx>
      <c:valAx>
        <c:axId val="1797368959"/>
        <c:scaling>
          <c:orientation val="minMax"/>
        </c:scaling>
        <c:delete val="1"/>
        <c:axPos val="l"/>
        <c:numFmt formatCode="0%" sourceLinked="1"/>
        <c:majorTickMark val="none"/>
        <c:minorTickMark val="none"/>
        <c:tickLblPos val="nextTo"/>
        <c:crossAx val="1797380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effectLst/>
              </a:rPr>
              <a:t>Ratio of women in public service, by region 2022</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3"/>
            <c:invertIfNegative val="0"/>
            <c:bubble3D val="0"/>
            <c:spPr>
              <a:solidFill>
                <a:schemeClr val="accent4"/>
              </a:solidFill>
              <a:ln>
                <a:noFill/>
              </a:ln>
              <a:effectLst/>
            </c:spPr>
            <c:extLst>
              <c:ext xmlns:c16="http://schemas.microsoft.com/office/drawing/2014/chart" uri="{C3380CC4-5D6E-409C-BE32-E72D297353CC}">
                <c16:uniqueId val="{00000001-22FE-4AF2-8DD2-6704D607CCD0}"/>
              </c:ext>
            </c:extLst>
          </c:dPt>
          <c:dPt>
            <c:idx val="8"/>
            <c:invertIfNegative val="0"/>
            <c:bubble3D val="0"/>
            <c:spPr>
              <a:solidFill>
                <a:schemeClr val="accent2"/>
              </a:solidFill>
              <a:ln>
                <a:noFill/>
              </a:ln>
              <a:effectLst/>
            </c:spPr>
            <c:extLst>
              <c:ext xmlns:c16="http://schemas.microsoft.com/office/drawing/2014/chart" uri="{C3380CC4-5D6E-409C-BE32-E72D297353CC}">
                <c16:uniqueId val="{00000002-22FE-4AF2-8DD2-6704D607CC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G16_Fig40!$A$1:$A$9</c:f>
              <c:strCache>
                <c:ptCount val="9"/>
                <c:pt idx="0">
                  <c:v>Europe &amp; North America</c:v>
                </c:pt>
                <c:pt idx="1">
                  <c:v>Latin America &amp; Caribbean</c:v>
                </c:pt>
                <c:pt idx="2">
                  <c:v>East &amp; South-East Asia</c:v>
                </c:pt>
                <c:pt idx="3">
                  <c:v>World</c:v>
                </c:pt>
                <c:pt idx="4">
                  <c:v>Oceania</c:v>
                </c:pt>
                <c:pt idx="5">
                  <c:v>Sub-Saharan Africa</c:v>
                </c:pt>
                <c:pt idx="6">
                  <c:v>Central &amp; South Asia</c:v>
                </c:pt>
                <c:pt idx="7">
                  <c:v>North Africa &amp; West Asia</c:v>
                </c:pt>
                <c:pt idx="8">
                  <c:v>Arab Region</c:v>
                </c:pt>
              </c:strCache>
            </c:strRef>
          </c:cat>
          <c:val>
            <c:numRef>
              <c:f>G16_Fig40!$B$1:$B$9</c:f>
              <c:numCache>
                <c:formatCode>0.0</c:formatCode>
                <c:ptCount val="9"/>
                <c:pt idx="0">
                  <c:v>1.1200000000000001</c:v>
                </c:pt>
                <c:pt idx="1">
                  <c:v>0.9</c:v>
                </c:pt>
                <c:pt idx="2">
                  <c:v>0.8</c:v>
                </c:pt>
                <c:pt idx="3">
                  <c:v>0.8</c:v>
                </c:pt>
                <c:pt idx="4">
                  <c:v>0.77</c:v>
                </c:pt>
                <c:pt idx="5">
                  <c:v>0.62</c:v>
                </c:pt>
                <c:pt idx="6">
                  <c:v>0.55000000000000004</c:v>
                </c:pt>
                <c:pt idx="7">
                  <c:v>0.5</c:v>
                </c:pt>
                <c:pt idx="8">
                  <c:v>0.43831999999999899</c:v>
                </c:pt>
              </c:numCache>
            </c:numRef>
          </c:val>
          <c:extLst>
            <c:ext xmlns:c16="http://schemas.microsoft.com/office/drawing/2014/chart" uri="{C3380CC4-5D6E-409C-BE32-E72D297353CC}">
              <c16:uniqueId val="{00000000-22FE-4AF2-8DD2-6704D607CCD0}"/>
            </c:ext>
          </c:extLst>
        </c:ser>
        <c:dLbls>
          <c:dLblPos val="outEnd"/>
          <c:showLegendKey val="0"/>
          <c:showVal val="1"/>
          <c:showCatName val="0"/>
          <c:showSerName val="0"/>
          <c:showPercent val="0"/>
          <c:showBubbleSize val="0"/>
        </c:dLbls>
        <c:gapWidth val="182"/>
        <c:axId val="1797335839"/>
        <c:axId val="1797338239"/>
      </c:barChart>
      <c:catAx>
        <c:axId val="179733583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7338239"/>
        <c:crosses val="autoZero"/>
        <c:auto val="1"/>
        <c:lblAlgn val="ctr"/>
        <c:lblOffset val="100"/>
        <c:noMultiLvlLbl val="0"/>
      </c:catAx>
      <c:valAx>
        <c:axId val="1797338239"/>
        <c:scaling>
          <c:orientation val="minMax"/>
        </c:scaling>
        <c:delete val="1"/>
        <c:axPos val="t"/>
        <c:numFmt formatCode="0.0" sourceLinked="1"/>
        <c:majorTickMark val="none"/>
        <c:minorTickMark val="none"/>
        <c:tickLblPos val="nextTo"/>
        <c:crossAx val="17973358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163F-4302-9CF4-D8A91EF91546}"/>
              </c:ext>
            </c:extLst>
          </c:dPt>
          <c:dPt>
            <c:idx val="1"/>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3-163F-4302-9CF4-D8A91EF91546}"/>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3F-4302-9CF4-D8A91EF915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G17_Fig41!$E$2:$F$2</c:f>
              <c:numCache>
                <c:formatCode>#,##0.0"%"</c:formatCode>
                <c:ptCount val="2"/>
                <c:pt idx="0">
                  <c:v>44.925789999999999</c:v>
                </c:pt>
                <c:pt idx="1">
                  <c:v>55.074210000000001</c:v>
                </c:pt>
              </c:numCache>
            </c:numRef>
          </c:val>
          <c:extLst>
            <c:ext xmlns:c16="http://schemas.microsoft.com/office/drawing/2014/chart" uri="{C3380CC4-5D6E-409C-BE32-E72D297353CC}">
              <c16:uniqueId val="{00000004-163F-4302-9CF4-D8A91EF91546}"/>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G17_Fig41!$B$1</c:f>
              <c:strCache>
                <c:ptCount val="1"/>
                <c:pt idx="0">
                  <c:v>Indicator</c:v>
                </c:pt>
              </c:strCache>
            </c:strRef>
          </c:tx>
          <c:spPr>
            <a:solidFill>
              <a:schemeClr val="bg1">
                <a:lumMod val="75000"/>
              </a:schemeClr>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1B54-47E6-A13A-0024377CB02F}"/>
              </c:ext>
            </c:extLst>
          </c:dPt>
          <c:dPt>
            <c:idx val="1"/>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3-1B54-47E6-A13A-0024377CB02F}"/>
              </c:ext>
            </c:extLst>
          </c:dPt>
          <c:dLbls>
            <c:dLbl>
              <c:idx val="1"/>
              <c:delete val="1"/>
              <c:extLst>
                <c:ext xmlns:c15="http://schemas.microsoft.com/office/drawing/2012/chart" uri="{CE6537A1-D6FC-4f65-9D91-7224C49458BB}"/>
                <c:ext xmlns:c16="http://schemas.microsoft.com/office/drawing/2014/chart" uri="{C3380CC4-5D6E-409C-BE32-E72D297353CC}">
                  <c16:uniqueId val="{00000003-1B54-47E6-A13A-0024377CB0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G17_Fig41!$E$3:$F$3</c:f>
              <c:numCache>
                <c:formatCode>#,##0.0"%"</c:formatCode>
                <c:ptCount val="2"/>
                <c:pt idx="0">
                  <c:v>49.090910000000001</c:v>
                </c:pt>
                <c:pt idx="1">
                  <c:v>50.909089999999999</c:v>
                </c:pt>
              </c:numCache>
            </c:numRef>
          </c:val>
          <c:extLst>
            <c:ext xmlns:c16="http://schemas.microsoft.com/office/drawing/2014/chart" uri="{C3380CC4-5D6E-409C-BE32-E72D297353CC}">
              <c16:uniqueId val="{00000004-1B54-47E6-A13A-0024377CB02F}"/>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lang="en-US" sz="900" b="0" i="0" u="none" strike="noStrike" kern="1200" spc="0" baseline="0">
                <a:solidFill>
                  <a:sysClr val="windowText" lastClr="000000">
                    <a:lumMod val="65000"/>
                    <a:lumOff val="35000"/>
                  </a:sysClr>
                </a:solidFill>
                <a:latin typeface="+mn-lt"/>
                <a:ea typeface="+mn-ea"/>
                <a:cs typeface="+mn-cs"/>
              </a:defRPr>
            </a:pPr>
            <a:r>
              <a:rPr lang="en-US" sz="900" b="0" i="0" u="none" strike="noStrike" kern="1200" spc="0" baseline="0">
                <a:solidFill>
                  <a:sysClr val="windowText" lastClr="000000">
                    <a:lumMod val="65000"/>
                    <a:lumOff val="35000"/>
                  </a:sysClr>
                </a:solidFill>
                <a:latin typeface="+mn-lt"/>
                <a:ea typeface="+mn-ea"/>
                <a:cs typeface="+mn-cs"/>
              </a:rPr>
              <a:t>Labour force participation</a:t>
            </a:r>
          </a:p>
        </c:rich>
      </c:tx>
      <c:overlay val="0"/>
    </c:title>
    <c:autoTitleDeleted val="0"/>
    <c:plotArea>
      <c:layout>
        <c:manualLayout>
          <c:layoutTarget val="inner"/>
          <c:xMode val="edge"/>
          <c:yMode val="edge"/>
          <c:x val="9.5776963511279845E-2"/>
          <c:y val="3.7146645298140489E-3"/>
          <c:w val="0.81928650112528301"/>
          <c:h val="0.97040987236008702"/>
        </c:manualLayout>
      </c:layout>
      <c:lineChart>
        <c:grouping val="standard"/>
        <c:varyColors val="0"/>
        <c:ser>
          <c:idx val="0"/>
          <c:order val="0"/>
          <c:tx>
            <c:v>Female</c:v>
          </c:tx>
          <c:spPr>
            <a:ln w="19050">
              <a:noFill/>
            </a:ln>
          </c:spPr>
          <c:marker>
            <c:symbol val="circle"/>
            <c:size val="6"/>
            <c:spPr>
              <a:solidFill>
                <a:schemeClr val="accent2"/>
              </a:solidFill>
              <a:ln w="9525">
                <a:noFill/>
              </a:ln>
              <a:effectLst/>
            </c:spPr>
          </c:marker>
          <c:dPt>
            <c:idx val="0"/>
            <c:marker>
              <c:spPr>
                <a:solidFill>
                  <a:srgbClr val="0070C0"/>
                </a:solidFill>
                <a:ln w="9525">
                  <a:noFill/>
                </a:ln>
                <a:effectLst/>
              </c:spPr>
            </c:marker>
            <c:bubble3D val="0"/>
            <c:spPr>
              <a:ln w="19050">
                <a:solidFill>
                  <a:srgbClr val="E8E8E8"/>
                </a:solidFill>
              </a:ln>
            </c:spPr>
            <c:extLst>
              <c:ext xmlns:c16="http://schemas.microsoft.com/office/drawing/2014/chart" uri="{C3380CC4-5D6E-409C-BE32-E72D297353CC}">
                <c16:uniqueId val="{00000001-C8CB-4470-BB1C-B032084CEA31}"/>
              </c:ext>
            </c:extLst>
          </c:dPt>
          <c:dPt>
            <c:idx val="2"/>
            <c:marker>
              <c:spPr>
                <a:solidFill>
                  <a:sysClr val="window" lastClr="FFFFFF">
                    <a:lumMod val="65000"/>
                  </a:sysClr>
                </a:solidFill>
                <a:ln w="9525">
                  <a:noFill/>
                </a:ln>
                <a:effectLst/>
              </c:spPr>
            </c:marker>
            <c:bubble3D val="0"/>
            <c:extLst>
              <c:ext xmlns:c16="http://schemas.microsoft.com/office/drawing/2014/chart" uri="{C3380CC4-5D6E-409C-BE32-E72D297353CC}">
                <c16:uniqueId val="{00000002-C8CB-4470-BB1C-B032084CEA31}"/>
              </c:ext>
            </c:extLst>
          </c:dPt>
          <c:dPt>
            <c:idx val="3"/>
            <c:marker>
              <c:spPr>
                <a:solidFill>
                  <a:srgbClr val="FFFF66"/>
                </a:solidFill>
                <a:ln w="9525">
                  <a:noFill/>
                </a:ln>
                <a:effectLst/>
              </c:spPr>
            </c:marker>
            <c:bubble3D val="0"/>
            <c:extLst>
              <c:ext xmlns:c16="http://schemas.microsoft.com/office/drawing/2014/chart" uri="{C3380CC4-5D6E-409C-BE32-E72D297353CC}">
                <c16:uniqueId val="{00000003-C8CB-4470-BB1C-B032084CEA31}"/>
              </c:ext>
            </c:extLst>
          </c:dPt>
          <c:dPt>
            <c:idx val="4"/>
            <c:marker>
              <c:spPr>
                <a:solidFill>
                  <a:srgbClr val="0E2841">
                    <a:lumMod val="50000"/>
                    <a:lumOff val="50000"/>
                  </a:srgbClr>
                </a:solidFill>
                <a:ln w="9525">
                  <a:noFill/>
                </a:ln>
                <a:effectLst/>
              </c:spPr>
            </c:marker>
            <c:bubble3D val="0"/>
            <c:extLst>
              <c:ext xmlns:c16="http://schemas.microsoft.com/office/drawing/2014/chart" uri="{C3380CC4-5D6E-409C-BE32-E72D297353CC}">
                <c16:uniqueId val="{00000004-C8CB-4470-BB1C-B032084CEA31}"/>
              </c:ext>
            </c:extLst>
          </c:dPt>
          <c:dPt>
            <c:idx val="5"/>
            <c:marker>
              <c:spPr>
                <a:solidFill>
                  <a:srgbClr val="92D050"/>
                </a:solidFill>
                <a:ln w="9525">
                  <a:noFill/>
                </a:ln>
                <a:effectLst/>
              </c:spPr>
            </c:marker>
            <c:bubble3D val="0"/>
            <c:extLst>
              <c:ext xmlns:c16="http://schemas.microsoft.com/office/drawing/2014/chart" uri="{C3380CC4-5D6E-409C-BE32-E72D297353CC}">
                <c16:uniqueId val="{00000005-C8CB-4470-BB1C-B032084CEA31}"/>
              </c:ext>
            </c:extLst>
          </c:dPt>
          <c:dLbls>
            <c:dLbl>
              <c:idx val="0"/>
              <c:layout>
                <c:manualLayout>
                  <c:x val="-7.3845225801425773E-2"/>
                  <c:y val="3.4638731324377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CB-4470-BB1C-B032084CEA31}"/>
                </c:ext>
              </c:extLst>
            </c:dLbl>
            <c:dLbl>
              <c:idx val="1"/>
              <c:layout>
                <c:manualLayout>
                  <c:x val="-6.87717097549332E-2"/>
                  <c:y val="4.31730868091792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CB-4470-BB1C-B032084CEA31}"/>
                </c:ext>
              </c:extLst>
            </c:dLbl>
            <c:dLbl>
              <c:idx val="2"/>
              <c:layout>
                <c:manualLayout>
                  <c:x val="-7.8918741847918361E-2"/>
                  <c:y val="4.74402645515800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CB-4470-BB1C-B032084CEA31}"/>
                </c:ext>
              </c:extLst>
            </c:dLbl>
            <c:dLbl>
              <c:idx val="3"/>
              <c:layout>
                <c:manualLayout>
                  <c:x val="-7.3845225801425773E-2"/>
                  <c:y val="4.31730868091791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CB-4470-BB1C-B032084CEA31}"/>
                </c:ext>
              </c:extLst>
            </c:dLbl>
            <c:dLbl>
              <c:idx val="4"/>
              <c:layout>
                <c:manualLayout>
                  <c:x val="-6.8771709754933283E-2"/>
                  <c:y val="6.0241797778782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CB-4470-BB1C-B032084CEA31}"/>
                </c:ext>
              </c:extLst>
            </c:dLbl>
            <c:dLbl>
              <c:idx val="5"/>
              <c:layout>
                <c:manualLayout>
                  <c:x val="-6.3698193708440709E-2"/>
                  <c:y val="4.74402645515800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CB-4470-BB1C-B032084CEA31}"/>
                </c:ext>
              </c:extLst>
            </c:dLbl>
            <c:spPr>
              <a:noFill/>
              <a:ln>
                <a:noFill/>
              </a:ln>
              <a:effectLst/>
            </c:spPr>
            <c:txPr>
              <a:bodyPr wrap="square" lIns="38100" tIns="19050" rIns="38100" bIns="19050" anchor="ctr">
                <a:spAutoFit/>
              </a:bodyPr>
              <a:lstStyle/>
              <a:p>
                <a:pPr>
                  <a:defRPr sz="8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'Section I_Fig3'!$A$3:$A$8</c:f>
              <c:strCache>
                <c:ptCount val="6"/>
                <c:pt idx="0">
                  <c:v>Latin America and Caribbean</c:v>
                </c:pt>
                <c:pt idx="1">
                  <c:v>Europe and Central Asia</c:v>
                </c:pt>
                <c:pt idx="2">
                  <c:v>East Asia and Pacific</c:v>
                </c:pt>
                <c:pt idx="3">
                  <c:v>Sub-Saharan Africa</c:v>
                </c:pt>
                <c:pt idx="4">
                  <c:v>South Asia</c:v>
                </c:pt>
                <c:pt idx="5">
                  <c:v>Arab Region</c:v>
                </c:pt>
              </c:strCache>
            </c:strRef>
          </c:cat>
          <c:val>
            <c:numRef>
              <c:f>'Section I_Fig3'!$D$3:$D$8</c:f>
              <c:numCache>
                <c:formatCode>#0"%"</c:formatCode>
                <c:ptCount val="6"/>
                <c:pt idx="0">
                  <c:v>51.07525213496298</c:v>
                </c:pt>
                <c:pt idx="1">
                  <c:v>51.555087047681042</c:v>
                </c:pt>
                <c:pt idx="2">
                  <c:v>58.551032071478993</c:v>
                </c:pt>
                <c:pt idx="3">
                  <c:v>60.675455574228742</c:v>
                </c:pt>
                <c:pt idx="4">
                  <c:v>31.636946537146624</c:v>
                </c:pt>
                <c:pt idx="5">
                  <c:v>20.02</c:v>
                </c:pt>
              </c:numCache>
            </c:numRef>
          </c:val>
          <c:smooth val="0"/>
          <c:extLst>
            <c:ext xmlns:c16="http://schemas.microsoft.com/office/drawing/2014/chart" uri="{C3380CC4-5D6E-409C-BE32-E72D297353CC}">
              <c16:uniqueId val="{00000007-C8CB-4470-BB1C-B032084CEA31}"/>
            </c:ext>
          </c:extLst>
        </c:ser>
        <c:ser>
          <c:idx val="1"/>
          <c:order val="1"/>
          <c:tx>
            <c:v>Male</c:v>
          </c:tx>
          <c:spPr>
            <a:ln w="19050">
              <a:noFill/>
            </a:ln>
          </c:spPr>
          <c:marker>
            <c:symbol val="diamond"/>
            <c:size val="7"/>
          </c:marker>
          <c:dPt>
            <c:idx val="0"/>
            <c:marker>
              <c:spPr>
                <a:solidFill>
                  <a:srgbClr val="0070C0"/>
                </a:solidFill>
                <a:ln>
                  <a:solidFill>
                    <a:srgbClr val="0070C0"/>
                  </a:solidFill>
                </a:ln>
              </c:spPr>
            </c:marker>
            <c:bubble3D val="0"/>
            <c:extLst>
              <c:ext xmlns:c16="http://schemas.microsoft.com/office/drawing/2014/chart" uri="{C3380CC4-5D6E-409C-BE32-E72D297353CC}">
                <c16:uniqueId val="{00000008-C8CB-4470-BB1C-B032084CEA31}"/>
              </c:ext>
            </c:extLst>
          </c:dPt>
          <c:dPt>
            <c:idx val="2"/>
            <c:marker>
              <c:spPr>
                <a:solidFill>
                  <a:srgbClr val="A6A6A6"/>
                </a:solidFill>
                <a:ln>
                  <a:solidFill>
                    <a:sysClr val="window" lastClr="FFFFFF">
                      <a:lumMod val="65000"/>
                    </a:sysClr>
                  </a:solidFill>
                </a:ln>
              </c:spPr>
            </c:marker>
            <c:bubble3D val="0"/>
            <c:extLst>
              <c:ext xmlns:c16="http://schemas.microsoft.com/office/drawing/2014/chart" uri="{C3380CC4-5D6E-409C-BE32-E72D297353CC}">
                <c16:uniqueId val="{00000009-C8CB-4470-BB1C-B032084CEA31}"/>
              </c:ext>
            </c:extLst>
          </c:dPt>
          <c:dPt>
            <c:idx val="3"/>
            <c:marker>
              <c:spPr>
                <a:solidFill>
                  <a:srgbClr val="FFFF66"/>
                </a:solidFill>
                <a:ln>
                  <a:solidFill>
                    <a:srgbClr val="FFFF66"/>
                  </a:solidFill>
                </a:ln>
              </c:spPr>
            </c:marker>
            <c:bubble3D val="0"/>
            <c:extLst>
              <c:ext xmlns:c16="http://schemas.microsoft.com/office/drawing/2014/chart" uri="{C3380CC4-5D6E-409C-BE32-E72D297353CC}">
                <c16:uniqueId val="{0000000A-C8CB-4470-BB1C-B032084CEA31}"/>
              </c:ext>
            </c:extLst>
          </c:dPt>
          <c:dPt>
            <c:idx val="4"/>
            <c:marker>
              <c:spPr>
                <a:solidFill>
                  <a:srgbClr val="4E95D9"/>
                </a:solidFill>
                <a:ln>
                  <a:solidFill>
                    <a:srgbClr val="0E2841">
                      <a:lumMod val="50000"/>
                      <a:lumOff val="50000"/>
                    </a:srgbClr>
                  </a:solidFill>
                </a:ln>
              </c:spPr>
            </c:marker>
            <c:bubble3D val="0"/>
            <c:extLst>
              <c:ext xmlns:c16="http://schemas.microsoft.com/office/drawing/2014/chart" uri="{C3380CC4-5D6E-409C-BE32-E72D297353CC}">
                <c16:uniqueId val="{0000000B-C8CB-4470-BB1C-B032084CEA31}"/>
              </c:ext>
            </c:extLst>
          </c:dPt>
          <c:dPt>
            <c:idx val="5"/>
            <c:marker>
              <c:spPr>
                <a:solidFill>
                  <a:srgbClr val="92D050"/>
                </a:solidFill>
                <a:ln>
                  <a:solidFill>
                    <a:srgbClr val="92D050"/>
                  </a:solidFill>
                </a:ln>
              </c:spPr>
            </c:marker>
            <c:bubble3D val="0"/>
            <c:extLst>
              <c:ext xmlns:c16="http://schemas.microsoft.com/office/drawing/2014/chart" uri="{C3380CC4-5D6E-409C-BE32-E72D297353CC}">
                <c16:uniqueId val="{0000000C-C8CB-4470-BB1C-B032084CEA31}"/>
              </c:ext>
            </c:extLst>
          </c:dPt>
          <c:dLbls>
            <c:spPr>
              <a:noFill/>
              <a:ln>
                <a:noFill/>
              </a:ln>
              <a:effectLst/>
            </c:spPr>
            <c:txPr>
              <a:bodyPr wrap="square" lIns="38100" tIns="19050" rIns="38100" bIns="19050" anchor="ctr">
                <a:spAutoFit/>
              </a:bodyPr>
              <a:lstStyle/>
              <a:p>
                <a:pPr>
                  <a:defRPr sz="8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'Section I_Fig3'!$A$3:$A$8</c:f>
              <c:strCache>
                <c:ptCount val="6"/>
                <c:pt idx="0">
                  <c:v>Latin America and Caribbean</c:v>
                </c:pt>
                <c:pt idx="1">
                  <c:v>Europe and Central Asia</c:v>
                </c:pt>
                <c:pt idx="2">
                  <c:v>East Asia and Pacific</c:v>
                </c:pt>
                <c:pt idx="3">
                  <c:v>Sub-Saharan Africa</c:v>
                </c:pt>
                <c:pt idx="4">
                  <c:v>South Asia</c:v>
                </c:pt>
                <c:pt idx="5">
                  <c:v>Arab Region</c:v>
                </c:pt>
              </c:strCache>
            </c:strRef>
          </c:cat>
          <c:val>
            <c:numRef>
              <c:f>'Section I_Fig3'!$E$3:$E$8</c:f>
              <c:numCache>
                <c:formatCode>#0"%"</c:formatCode>
                <c:ptCount val="6"/>
                <c:pt idx="0">
                  <c:v>74.659382155348709</c:v>
                </c:pt>
                <c:pt idx="1">
                  <c:v>66.41962505732819</c:v>
                </c:pt>
                <c:pt idx="2">
                  <c:v>73.596044974859467</c:v>
                </c:pt>
                <c:pt idx="3">
                  <c:v>72.844168873613725</c:v>
                </c:pt>
                <c:pt idx="4">
                  <c:v>77.01658503647856</c:v>
                </c:pt>
                <c:pt idx="5">
                  <c:v>70.33</c:v>
                </c:pt>
              </c:numCache>
            </c:numRef>
          </c:val>
          <c:smooth val="0"/>
          <c:extLst>
            <c:ext xmlns:c16="http://schemas.microsoft.com/office/drawing/2014/chart" uri="{C3380CC4-5D6E-409C-BE32-E72D297353CC}">
              <c16:uniqueId val="{0000000D-C8CB-4470-BB1C-B032084CEA31}"/>
            </c:ext>
          </c:extLst>
        </c:ser>
        <c:dLbls>
          <c:dLblPos val="t"/>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300372720"/>
        <c:axId val="300373280"/>
      </c:lineChart>
      <c:catAx>
        <c:axId val="300372720"/>
        <c:scaling>
          <c:orientation val="minMax"/>
        </c:scaling>
        <c:delete val="1"/>
        <c:axPos val="b"/>
        <c:numFmt formatCode="General" sourceLinked="1"/>
        <c:majorTickMark val="none"/>
        <c:minorTickMark val="none"/>
        <c:tickLblPos val="nextTo"/>
        <c:crossAx val="300373280"/>
        <c:crosses val="autoZero"/>
        <c:auto val="1"/>
        <c:lblAlgn val="ctr"/>
        <c:lblOffset val="100"/>
        <c:noMultiLvlLbl val="0"/>
      </c:catAx>
      <c:valAx>
        <c:axId val="300373280"/>
        <c:scaling>
          <c:orientation val="minMax"/>
          <c:max val="100"/>
          <c:min val="0"/>
        </c:scaling>
        <c:delete val="1"/>
        <c:axPos val="l"/>
        <c:numFmt formatCode="#,##0" sourceLinked="0"/>
        <c:majorTickMark val="none"/>
        <c:minorTickMark val="none"/>
        <c:tickLblPos val="nextTo"/>
        <c:crossAx val="300372720"/>
        <c:crosses val="autoZero"/>
        <c:crossBetween val="between"/>
        <c:majorUnit val="10"/>
      </c:valAx>
      <c:spPr>
        <a:noFill/>
        <a:ln>
          <a:noFill/>
        </a:ln>
        <a:effectLst/>
      </c:spPr>
    </c:plotArea>
    <c:legend>
      <c:legendPos val="b"/>
      <c:layout>
        <c:manualLayout>
          <c:xMode val="edge"/>
          <c:yMode val="edge"/>
          <c:x val="0.23916680692288908"/>
          <c:y val="0.92725264400636442"/>
          <c:w val="0.52166591204868118"/>
          <c:h val="7.2377975447593543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E8E8E8"/>
      </a:solidFill>
      <a:round/>
    </a:ln>
    <a:effectLst/>
  </c:spPr>
  <c:txPr>
    <a:bodyPr/>
    <a:lstStyle/>
    <a:p>
      <a:pPr>
        <a:defRPr>
          <a:solidFill>
            <a:schemeClr val="tx1">
              <a:lumMod val="95000"/>
              <a:lumOff val="5000"/>
            </a:schemeClr>
          </a:solidFill>
        </a:defRPr>
      </a:pPr>
      <a:endParaRPr lang="en-US"/>
    </a:p>
  </c:txPr>
  <c:printSettings>
    <c:headerFooter/>
    <c:pageMargins b="0.75000000000000044" l="0.7000000000000004" r="0.7000000000000004" t="0.75000000000000044" header="0.30000000000000021" footer="0.30000000000000021"/>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G17_Fig41!$B$1</c:f>
              <c:strCache>
                <c:ptCount val="1"/>
                <c:pt idx="0">
                  <c:v>Indicator</c:v>
                </c:pt>
              </c:strCache>
            </c:strRef>
          </c:tx>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EF99-4ED9-8DFC-9ADB762B5C9F}"/>
              </c:ext>
            </c:extLst>
          </c:dPt>
          <c:dPt>
            <c:idx val="1"/>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3-EF99-4ED9-8DFC-9ADB762B5C9F}"/>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99-4ED9-8DFC-9ADB762B5C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G17_Fig41!$E$4:$F$4</c:f>
              <c:numCache>
                <c:formatCode>#,##0.0"%"</c:formatCode>
                <c:ptCount val="2"/>
                <c:pt idx="0">
                  <c:v>43.994999999999997</c:v>
                </c:pt>
                <c:pt idx="1">
                  <c:v>56.005000000000003</c:v>
                </c:pt>
              </c:numCache>
            </c:numRef>
          </c:val>
          <c:extLst>
            <c:ext xmlns:c16="http://schemas.microsoft.com/office/drawing/2014/chart" uri="{C3380CC4-5D6E-409C-BE32-E72D297353CC}">
              <c16:uniqueId val="{00000004-EF99-4ED9-8DFC-9ADB762B5C9F}"/>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9E17-4FDD-A0B3-C7D6F58F54CC}"/>
              </c:ext>
            </c:extLst>
          </c:dPt>
          <c:dPt>
            <c:idx val="1"/>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3-9E17-4FDD-A0B3-C7D6F58F54CC}"/>
              </c:ext>
            </c:extLst>
          </c:dPt>
          <c:dLbls>
            <c:dLbl>
              <c:idx val="1"/>
              <c:delete val="1"/>
              <c:extLst>
                <c:ext xmlns:c15="http://schemas.microsoft.com/office/drawing/2012/chart" uri="{CE6537A1-D6FC-4f65-9D91-7224C49458BB}"/>
                <c:ext xmlns:c16="http://schemas.microsoft.com/office/drawing/2014/chart" uri="{C3380CC4-5D6E-409C-BE32-E72D297353CC}">
                  <c16:uniqueId val="{00000003-9E17-4FDD-A0B3-C7D6F58F54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G17_Fig41!$E$7:$F$7</c:f>
              <c:numCache>
                <c:formatCode>#,##0.0"%"</c:formatCode>
                <c:ptCount val="2"/>
                <c:pt idx="0">
                  <c:v>68.181818181818187</c:v>
                </c:pt>
                <c:pt idx="1">
                  <c:v>31.818181818181813</c:v>
                </c:pt>
              </c:numCache>
            </c:numRef>
          </c:val>
          <c:extLst>
            <c:ext xmlns:c16="http://schemas.microsoft.com/office/drawing/2014/chart" uri="{C3380CC4-5D6E-409C-BE32-E72D297353CC}">
              <c16:uniqueId val="{00000004-9E17-4FDD-A0B3-C7D6F58F54CC}"/>
            </c:ext>
          </c:extLst>
        </c:ser>
        <c:dLbls>
          <c:showLegendKey val="0"/>
          <c:showVal val="1"/>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AF35-4E43-B6BB-570C6DA8E5A2}"/>
              </c:ext>
            </c:extLst>
          </c:dPt>
          <c:dPt>
            <c:idx val="1"/>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3-AF35-4E43-B6BB-570C6DA8E5A2}"/>
              </c:ext>
            </c:extLst>
          </c:dPt>
          <c:dLbls>
            <c:dLbl>
              <c:idx val="1"/>
              <c:delete val="1"/>
              <c:extLst>
                <c:ext xmlns:c15="http://schemas.microsoft.com/office/drawing/2012/chart" uri="{CE6537A1-D6FC-4f65-9D91-7224C49458BB}"/>
                <c:ext xmlns:c16="http://schemas.microsoft.com/office/drawing/2014/chart" uri="{C3380CC4-5D6E-409C-BE32-E72D297353CC}">
                  <c16:uniqueId val="{00000003-AF35-4E43-B6BB-570C6DA8E5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G17_Fig41!$E$8:$F$8</c:f>
              <c:numCache>
                <c:formatCode>#,##0.0"%"</c:formatCode>
                <c:ptCount val="2"/>
                <c:pt idx="0">
                  <c:v>63.636363636363633</c:v>
                </c:pt>
                <c:pt idx="1">
                  <c:v>36.363636363636367</c:v>
                </c:pt>
              </c:numCache>
            </c:numRef>
          </c:val>
          <c:extLst>
            <c:ext xmlns:c16="http://schemas.microsoft.com/office/drawing/2014/chart" uri="{C3380CC4-5D6E-409C-BE32-E72D297353CC}">
              <c16:uniqueId val="{00000004-AF35-4E43-B6BB-570C6DA8E5A2}"/>
            </c:ext>
          </c:extLst>
        </c:ser>
        <c:dLbls>
          <c:showLegendKey val="0"/>
          <c:showVal val="1"/>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E6B0-442A-8600-7471976B291E}"/>
              </c:ext>
            </c:extLst>
          </c:dPt>
          <c:dPt>
            <c:idx val="1"/>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3-E6B0-442A-8600-7471976B291E}"/>
              </c:ext>
            </c:extLst>
          </c:dPt>
          <c:dLbls>
            <c:dLbl>
              <c:idx val="1"/>
              <c:delete val="1"/>
              <c:extLst>
                <c:ext xmlns:c15="http://schemas.microsoft.com/office/drawing/2012/chart" uri="{CE6537A1-D6FC-4f65-9D91-7224C49458BB}"/>
                <c:ext xmlns:c16="http://schemas.microsoft.com/office/drawing/2014/chart" uri="{C3380CC4-5D6E-409C-BE32-E72D297353CC}">
                  <c16:uniqueId val="{00000003-E6B0-442A-8600-7471976B29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G17_Fig41!$E$9:$F$9</c:f>
              <c:numCache>
                <c:formatCode>#,##0.0"%"</c:formatCode>
                <c:ptCount val="2"/>
                <c:pt idx="0">
                  <c:v>63.636363636363633</c:v>
                </c:pt>
                <c:pt idx="1">
                  <c:v>36.363636363636367</c:v>
                </c:pt>
              </c:numCache>
            </c:numRef>
          </c:val>
          <c:extLst>
            <c:ext xmlns:c16="http://schemas.microsoft.com/office/drawing/2014/chart" uri="{C3380CC4-5D6E-409C-BE32-E72D297353CC}">
              <c16:uniqueId val="{00000004-E6B0-442A-8600-7471976B291E}"/>
            </c:ext>
          </c:extLst>
        </c:ser>
        <c:dLbls>
          <c:showLegendKey val="0"/>
          <c:showVal val="1"/>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Production of gender indicators by Tier</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G17_Fig43!$B$1</c:f>
              <c:strCache>
                <c:ptCount val="1"/>
                <c:pt idx="0">
                  <c:v>Value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900-417A-BCE9-B278BF642A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900-417A-BCE9-B278BF642A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900-417A-BCE9-B278BF642AF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G17_Fig43!$A$2:$A$4</c:f>
              <c:strCache>
                <c:ptCount val="3"/>
                <c:pt idx="0">
                  <c:v>Tier I</c:v>
                </c:pt>
                <c:pt idx="1">
                  <c:v>Tier II</c:v>
                </c:pt>
                <c:pt idx="2">
                  <c:v>Tier III</c:v>
                </c:pt>
              </c:strCache>
            </c:strRef>
          </c:cat>
          <c:val>
            <c:numRef>
              <c:f>G17_Fig43!$B$2:$B$4</c:f>
              <c:numCache>
                <c:formatCode>0%</c:formatCode>
                <c:ptCount val="3"/>
                <c:pt idx="0">
                  <c:v>0.49</c:v>
                </c:pt>
                <c:pt idx="1">
                  <c:v>0.16</c:v>
                </c:pt>
                <c:pt idx="2">
                  <c:v>0.17</c:v>
                </c:pt>
              </c:numCache>
            </c:numRef>
          </c:val>
          <c:extLst>
            <c:ext xmlns:c16="http://schemas.microsoft.com/office/drawing/2014/chart" uri="{C3380CC4-5D6E-409C-BE32-E72D297353CC}">
              <c16:uniqueId val="{00000000-AE0D-4C5E-8A7D-A2BE4F200C9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kern="1200" spc="0" baseline="0">
                <a:solidFill>
                  <a:sysClr val="windowText" lastClr="000000">
                    <a:lumMod val="65000"/>
                    <a:lumOff val="35000"/>
                  </a:sysClr>
                </a:solidFill>
              </a:rPr>
              <a:t>Lack of access to basic services and technology in rural and urban</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PB_1!$B$3</c:f>
              <c:strCache>
                <c:ptCount val="1"/>
                <c:pt idx="0">
                  <c:v>Rural</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PB_1!$A$4:$A$9</c:f>
              <c:strCache>
                <c:ptCount val="6"/>
                <c:pt idx="0">
                  <c:v>Basic drinking water</c:v>
                </c:pt>
                <c:pt idx="1">
                  <c:v>Basic sanitation</c:v>
                </c:pt>
                <c:pt idx="2">
                  <c:v>Safe drinking water</c:v>
                </c:pt>
                <c:pt idx="3">
                  <c:v>Safe sanitation</c:v>
                </c:pt>
                <c:pt idx="4">
                  <c:v>Basic handwashing </c:v>
                </c:pt>
                <c:pt idx="5">
                  <c:v>Internet</c:v>
                </c:pt>
              </c:strCache>
            </c:strRef>
          </c:cat>
          <c:val>
            <c:numRef>
              <c:f>PB_1!$B$4:$B$9</c:f>
              <c:numCache>
                <c:formatCode>0%</c:formatCode>
                <c:ptCount val="6"/>
                <c:pt idx="0">
                  <c:v>0.20000000106422414</c:v>
                </c:pt>
                <c:pt idx="1">
                  <c:v>0.18399999757356894</c:v>
                </c:pt>
                <c:pt idx="2">
                  <c:v>0.32410487281952044</c:v>
                </c:pt>
                <c:pt idx="3">
                  <c:v>0.47439999760762414</c:v>
                </c:pt>
                <c:pt idx="4">
                  <c:v>0.306666279505733</c:v>
                </c:pt>
                <c:pt idx="5">
                  <c:v>0.49</c:v>
                </c:pt>
              </c:numCache>
            </c:numRef>
          </c:val>
          <c:extLst>
            <c:ext xmlns:c16="http://schemas.microsoft.com/office/drawing/2014/chart" uri="{C3380CC4-5D6E-409C-BE32-E72D297353CC}">
              <c16:uniqueId val="{00000000-9571-45A9-87BE-9402849F57DC}"/>
            </c:ext>
          </c:extLst>
        </c:ser>
        <c:ser>
          <c:idx val="1"/>
          <c:order val="1"/>
          <c:tx>
            <c:strRef>
              <c:f>PB_1!$C$3</c:f>
              <c:strCache>
                <c:ptCount val="1"/>
                <c:pt idx="0">
                  <c:v>Urban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PB_1!$A$4:$A$9</c:f>
              <c:strCache>
                <c:ptCount val="6"/>
                <c:pt idx="0">
                  <c:v>Basic drinking water</c:v>
                </c:pt>
                <c:pt idx="1">
                  <c:v>Basic sanitation</c:v>
                </c:pt>
                <c:pt idx="2">
                  <c:v>Safe drinking water</c:v>
                </c:pt>
                <c:pt idx="3">
                  <c:v>Safe sanitation</c:v>
                </c:pt>
                <c:pt idx="4">
                  <c:v>Basic handwashing </c:v>
                </c:pt>
                <c:pt idx="5">
                  <c:v>Internet</c:v>
                </c:pt>
              </c:strCache>
            </c:strRef>
          </c:cat>
          <c:val>
            <c:numRef>
              <c:f>PB_1!$C$4:$C$9</c:f>
              <c:numCache>
                <c:formatCode>0%</c:formatCode>
                <c:ptCount val="6"/>
                <c:pt idx="0">
                  <c:v>4.8000000578129545E-2</c:v>
                </c:pt>
                <c:pt idx="1">
                  <c:v>5.8999999205071874E-2</c:v>
                </c:pt>
                <c:pt idx="2">
                  <c:v>0.19800000057812955</c:v>
                </c:pt>
                <c:pt idx="3">
                  <c:v>0.34400000173438866</c:v>
                </c:pt>
                <c:pt idx="4">
                  <c:v>0.152817097866255</c:v>
                </c:pt>
                <c:pt idx="5">
                  <c:v>0.18</c:v>
                </c:pt>
              </c:numCache>
            </c:numRef>
          </c:val>
          <c:extLst>
            <c:ext xmlns:c16="http://schemas.microsoft.com/office/drawing/2014/chart" uri="{C3380CC4-5D6E-409C-BE32-E72D297353CC}">
              <c16:uniqueId val="{00000001-9571-45A9-87BE-9402849F57DC}"/>
            </c:ext>
          </c:extLst>
        </c:ser>
        <c:dLbls>
          <c:dLblPos val="outEnd"/>
          <c:showLegendKey val="0"/>
          <c:showVal val="1"/>
          <c:showCatName val="0"/>
          <c:showSerName val="0"/>
          <c:showPercent val="0"/>
          <c:showBubbleSize val="0"/>
        </c:dLbls>
        <c:gapWidth val="100"/>
        <c:overlap val="1"/>
        <c:axId val="775353760"/>
        <c:axId val="775366720"/>
      </c:barChart>
      <c:catAx>
        <c:axId val="77535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366720"/>
        <c:crosses val="autoZero"/>
        <c:auto val="1"/>
        <c:lblAlgn val="ctr"/>
        <c:lblOffset val="100"/>
        <c:noMultiLvlLbl val="0"/>
      </c:catAx>
      <c:valAx>
        <c:axId val="775366720"/>
        <c:scaling>
          <c:orientation val="minMax"/>
        </c:scaling>
        <c:delete val="1"/>
        <c:axPos val="l"/>
        <c:numFmt formatCode="0%" sourceLinked="1"/>
        <c:majorTickMark val="none"/>
        <c:minorTickMark val="none"/>
        <c:tickLblPos val="nextTo"/>
        <c:crossAx val="775353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kern="1200" spc="0" baseline="0">
                <a:solidFill>
                  <a:sysClr val="windowText" lastClr="000000">
                    <a:lumMod val="65000"/>
                    <a:lumOff val="35000"/>
                  </a:sysClr>
                </a:solidFill>
              </a:rPr>
              <a:t>Children out-of-school in lower secondary, 2018</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372367400643062E-2"/>
          <c:y val="0.19385020080800583"/>
          <c:w val="0.88442877931040487"/>
          <c:h val="0.4789111469328578"/>
        </c:manualLayout>
      </c:layout>
      <c:barChart>
        <c:barDir val="col"/>
        <c:grouping val="clustered"/>
        <c:varyColors val="0"/>
        <c:ser>
          <c:idx val="0"/>
          <c:order val="0"/>
          <c:tx>
            <c:strRef>
              <c:f>PB_2!$A$3</c:f>
              <c:strCache>
                <c:ptCount val="1"/>
                <c:pt idx="0">
                  <c:v>Poorest</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PB_2!$B$1:$E$2</c:f>
              <c:multiLvlStrCache>
                <c:ptCount val="4"/>
                <c:lvl>
                  <c:pt idx="0">
                    <c:v>Female</c:v>
                  </c:pt>
                  <c:pt idx="1">
                    <c:v>Male</c:v>
                  </c:pt>
                  <c:pt idx="2">
                    <c:v>Female</c:v>
                  </c:pt>
                  <c:pt idx="3">
                    <c:v>Male</c:v>
                  </c:pt>
                </c:lvl>
                <c:lvl>
                  <c:pt idx="0">
                    <c:v>Rural</c:v>
                  </c:pt>
                  <c:pt idx="2">
                    <c:v>Urban</c:v>
                  </c:pt>
                </c:lvl>
              </c:multiLvlStrCache>
            </c:multiLvlStrRef>
          </c:cat>
          <c:val>
            <c:numRef>
              <c:f>PB_2!$B$3:$E$3</c:f>
              <c:numCache>
                <c:formatCode>0%</c:formatCode>
                <c:ptCount val="4"/>
                <c:pt idx="0">
                  <c:v>0.29707125000000001</c:v>
                </c:pt>
                <c:pt idx="1">
                  <c:v>0.20654343571428599</c:v>
                </c:pt>
                <c:pt idx="2">
                  <c:v>0.1253628</c:v>
                </c:pt>
                <c:pt idx="3">
                  <c:v>0.102063142857143</c:v>
                </c:pt>
              </c:numCache>
            </c:numRef>
          </c:val>
          <c:extLst>
            <c:ext xmlns:c16="http://schemas.microsoft.com/office/drawing/2014/chart" uri="{C3380CC4-5D6E-409C-BE32-E72D297353CC}">
              <c16:uniqueId val="{00000000-D1FC-4762-83F6-04EFCBD37D37}"/>
            </c:ext>
          </c:extLst>
        </c:ser>
        <c:ser>
          <c:idx val="1"/>
          <c:order val="1"/>
          <c:tx>
            <c:strRef>
              <c:f>PB_2!$A$4</c:f>
              <c:strCache>
                <c:ptCount val="1"/>
                <c:pt idx="0">
                  <c:v>Richest</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PB_2!$B$1:$E$2</c:f>
              <c:multiLvlStrCache>
                <c:ptCount val="4"/>
                <c:lvl>
                  <c:pt idx="0">
                    <c:v>Female</c:v>
                  </c:pt>
                  <c:pt idx="1">
                    <c:v>Male</c:v>
                  </c:pt>
                  <c:pt idx="2">
                    <c:v>Female</c:v>
                  </c:pt>
                  <c:pt idx="3">
                    <c:v>Male</c:v>
                  </c:pt>
                </c:lvl>
                <c:lvl>
                  <c:pt idx="0">
                    <c:v>Rural</c:v>
                  </c:pt>
                  <c:pt idx="2">
                    <c:v>Urban</c:v>
                  </c:pt>
                </c:lvl>
              </c:multiLvlStrCache>
            </c:multiLvlStrRef>
          </c:cat>
          <c:val>
            <c:numRef>
              <c:f>PB_2!$B$4:$E$4</c:f>
              <c:numCache>
                <c:formatCode>0%</c:formatCode>
                <c:ptCount val="4"/>
                <c:pt idx="0">
                  <c:v>5.9606307142857098E-2</c:v>
                </c:pt>
                <c:pt idx="1">
                  <c:v>2.4941514285714301E-2</c:v>
                </c:pt>
                <c:pt idx="2">
                  <c:v>4.5912678571428597E-2</c:v>
                </c:pt>
                <c:pt idx="3">
                  <c:v>4.8506907142857103E-2</c:v>
                </c:pt>
              </c:numCache>
            </c:numRef>
          </c:val>
          <c:extLst>
            <c:ext xmlns:c16="http://schemas.microsoft.com/office/drawing/2014/chart" uri="{C3380CC4-5D6E-409C-BE32-E72D297353CC}">
              <c16:uniqueId val="{00000001-D1FC-4762-83F6-04EFCBD37D37}"/>
            </c:ext>
          </c:extLst>
        </c:ser>
        <c:dLbls>
          <c:dLblPos val="outEnd"/>
          <c:showLegendKey val="0"/>
          <c:showVal val="1"/>
          <c:showCatName val="0"/>
          <c:showSerName val="0"/>
          <c:showPercent val="0"/>
          <c:showBubbleSize val="0"/>
        </c:dLbls>
        <c:gapWidth val="219"/>
        <c:overlap val="-27"/>
        <c:axId val="617128400"/>
        <c:axId val="617136560"/>
      </c:barChart>
      <c:catAx>
        <c:axId val="61712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136560"/>
        <c:crosses val="autoZero"/>
        <c:auto val="1"/>
        <c:lblAlgn val="ctr"/>
        <c:lblOffset val="100"/>
        <c:noMultiLvlLbl val="0"/>
      </c:catAx>
      <c:valAx>
        <c:axId val="617136560"/>
        <c:scaling>
          <c:orientation val="minMax"/>
        </c:scaling>
        <c:delete val="1"/>
        <c:axPos val="l"/>
        <c:numFmt formatCode="0%" sourceLinked="1"/>
        <c:majorTickMark val="none"/>
        <c:minorTickMark val="none"/>
        <c:tickLblPos val="nextTo"/>
        <c:crossAx val="61712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Married before 18</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PB_3!$B$1</c:f>
              <c:strCache>
                <c:ptCount val="1"/>
                <c:pt idx="0">
                  <c:v>Rural</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PB_3!$A$2:$A$9</c:f>
              <c:strCache>
                <c:ptCount val="8"/>
                <c:pt idx="0">
                  <c:v>Somalia (2006)</c:v>
                </c:pt>
                <c:pt idx="1">
                  <c:v>Egypt (2014)</c:v>
                </c:pt>
                <c:pt idx="2">
                  <c:v>Yemen (2022)</c:v>
                </c:pt>
                <c:pt idx="3">
                  <c:v>Algeria (2019)</c:v>
                </c:pt>
                <c:pt idx="4">
                  <c:v>Tunisia (2023)</c:v>
                </c:pt>
                <c:pt idx="5">
                  <c:v>Palestine (2019-20)</c:v>
                </c:pt>
                <c:pt idx="6">
                  <c:v>Syria (2006)</c:v>
                </c:pt>
                <c:pt idx="7">
                  <c:v>Iraq (2018)</c:v>
                </c:pt>
              </c:strCache>
            </c:strRef>
          </c:cat>
          <c:val>
            <c:numRef>
              <c:f>PB_3!$B$2:$B$9</c:f>
              <c:numCache>
                <c:formatCode>0%</c:formatCode>
                <c:ptCount val="8"/>
                <c:pt idx="0">
                  <c:v>0.49</c:v>
                </c:pt>
                <c:pt idx="1">
                  <c:v>0.19</c:v>
                </c:pt>
                <c:pt idx="2">
                  <c:v>0.31</c:v>
                </c:pt>
                <c:pt idx="3">
                  <c:v>0.05</c:v>
                </c:pt>
                <c:pt idx="4">
                  <c:v>0.03</c:v>
                </c:pt>
                <c:pt idx="5">
                  <c:v>0.13</c:v>
                </c:pt>
                <c:pt idx="6">
                  <c:v>0.17</c:v>
                </c:pt>
                <c:pt idx="7">
                  <c:v>0.28000000000000003</c:v>
                </c:pt>
              </c:numCache>
            </c:numRef>
          </c:val>
          <c:extLst>
            <c:ext xmlns:c16="http://schemas.microsoft.com/office/drawing/2014/chart" uri="{C3380CC4-5D6E-409C-BE32-E72D297353CC}">
              <c16:uniqueId val="{00000000-892A-4704-9A04-802655CE9F2A}"/>
            </c:ext>
          </c:extLst>
        </c:ser>
        <c:ser>
          <c:idx val="1"/>
          <c:order val="1"/>
          <c:tx>
            <c:strRef>
              <c:f>PB_3!$C$1</c:f>
              <c:strCache>
                <c:ptCount val="1"/>
                <c:pt idx="0">
                  <c:v>Urban</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PB_3!$A$2:$A$9</c:f>
              <c:strCache>
                <c:ptCount val="8"/>
                <c:pt idx="0">
                  <c:v>Somalia (2006)</c:v>
                </c:pt>
                <c:pt idx="1">
                  <c:v>Egypt (2014)</c:v>
                </c:pt>
                <c:pt idx="2">
                  <c:v>Yemen (2022)</c:v>
                </c:pt>
                <c:pt idx="3">
                  <c:v>Algeria (2019)</c:v>
                </c:pt>
                <c:pt idx="4">
                  <c:v>Tunisia (2023)</c:v>
                </c:pt>
                <c:pt idx="5">
                  <c:v>Palestine (2019-20)</c:v>
                </c:pt>
                <c:pt idx="6">
                  <c:v>Syria (2006)</c:v>
                </c:pt>
                <c:pt idx="7">
                  <c:v>Iraq (2018)</c:v>
                </c:pt>
              </c:strCache>
            </c:strRef>
          </c:cat>
          <c:val>
            <c:numRef>
              <c:f>PB_3!$C$2:$C$9</c:f>
              <c:numCache>
                <c:formatCode>0%</c:formatCode>
                <c:ptCount val="8"/>
                <c:pt idx="0">
                  <c:v>0.41</c:v>
                </c:pt>
                <c:pt idx="1">
                  <c:v>0.13</c:v>
                </c:pt>
                <c:pt idx="2">
                  <c:v>0.27</c:v>
                </c:pt>
                <c:pt idx="3">
                  <c:v>0.03</c:v>
                </c:pt>
                <c:pt idx="4">
                  <c:v>0.02</c:v>
                </c:pt>
                <c:pt idx="5">
                  <c:v>0.14000000000000001</c:v>
                </c:pt>
                <c:pt idx="6">
                  <c:v>0.19</c:v>
                </c:pt>
                <c:pt idx="7">
                  <c:v>0.28000000000000003</c:v>
                </c:pt>
              </c:numCache>
            </c:numRef>
          </c:val>
          <c:extLst>
            <c:ext xmlns:c16="http://schemas.microsoft.com/office/drawing/2014/chart" uri="{C3380CC4-5D6E-409C-BE32-E72D297353CC}">
              <c16:uniqueId val="{00000001-892A-4704-9A04-802655CE9F2A}"/>
            </c:ext>
          </c:extLst>
        </c:ser>
        <c:dLbls>
          <c:dLblPos val="outEnd"/>
          <c:showLegendKey val="0"/>
          <c:showVal val="1"/>
          <c:showCatName val="0"/>
          <c:showSerName val="0"/>
          <c:showPercent val="0"/>
          <c:showBubbleSize val="0"/>
        </c:dLbls>
        <c:gapWidth val="219"/>
        <c:overlap val="-27"/>
        <c:axId val="545806512"/>
        <c:axId val="545806992"/>
      </c:barChart>
      <c:catAx>
        <c:axId val="54580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806992"/>
        <c:crosses val="autoZero"/>
        <c:auto val="1"/>
        <c:lblAlgn val="ctr"/>
        <c:lblOffset val="100"/>
        <c:noMultiLvlLbl val="0"/>
      </c:catAx>
      <c:valAx>
        <c:axId val="545806992"/>
        <c:scaling>
          <c:orientation val="minMax"/>
        </c:scaling>
        <c:delete val="1"/>
        <c:axPos val="l"/>
        <c:numFmt formatCode="0%" sourceLinked="1"/>
        <c:majorTickMark val="none"/>
        <c:minorTickMark val="none"/>
        <c:tickLblPos val="nextTo"/>
        <c:crossAx val="545806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a:t>Primary responsibility for water collection in rural areas</a:t>
            </a:r>
          </a:p>
        </c:rich>
      </c:tx>
      <c:layout>
        <c:manualLayout>
          <c:xMode val="edge"/>
          <c:yMode val="edge"/>
          <c:x val="0.12928246223813536"/>
          <c:y val="1.87376435271569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9156579308183506E-2"/>
          <c:y val="0.16737525846404477"/>
          <c:w val="0.87630774278215218"/>
          <c:h val="0.6714577865266842"/>
        </c:manualLayout>
      </c:layout>
      <c:barChart>
        <c:barDir val="col"/>
        <c:grouping val="stacked"/>
        <c:varyColors val="0"/>
        <c:ser>
          <c:idx val="0"/>
          <c:order val="0"/>
          <c:tx>
            <c:strRef>
              <c:f>G6_Fig23!$C$1</c:f>
              <c:strCache>
                <c:ptCount val="1"/>
                <c:pt idx="0">
                  <c:v>Female</c:v>
                </c:pt>
              </c:strCache>
            </c:strRef>
          </c:tx>
          <c:spPr>
            <a:solidFill>
              <a:schemeClr val="accent2"/>
            </a:solidFill>
            <a:ln>
              <a:noFill/>
            </a:ln>
            <a:effectLst/>
          </c:spPr>
          <c:invertIfNegative val="0"/>
          <c:dLbls>
            <c:dLbl>
              <c:idx val="0"/>
              <c:layout>
                <c:manualLayout>
                  <c:x val="1.990049751243781E-3"/>
                  <c:y val="-0.1980548187444739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1E-47FA-8C19-73C61AD3C242}"/>
                </c:ext>
              </c:extLst>
            </c:dLbl>
            <c:dLbl>
              <c:idx val="1"/>
              <c:layout>
                <c:manualLayout>
                  <c:x val="0"/>
                  <c:y val="-0.13439434129089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1E-47FA-8C19-73C61AD3C242}"/>
                </c:ext>
              </c:extLst>
            </c:dLbl>
            <c:dLbl>
              <c:idx val="2"/>
              <c:layout>
                <c:manualLayout>
                  <c:x val="3.9800995024874891E-3"/>
                  <c:y val="-0.1414677276746242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1E-47FA-8C19-73C61AD3C242}"/>
                </c:ext>
              </c:extLst>
            </c:dLbl>
            <c:dLbl>
              <c:idx val="3"/>
              <c:layout>
                <c:manualLayout>
                  <c:x val="-1.990049751243781E-3"/>
                  <c:y val="-7.780725022104333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1E-47FA-8C19-73C61AD3C242}"/>
                </c:ext>
              </c:extLst>
            </c:dLbl>
            <c:dLbl>
              <c:idx val="4"/>
              <c:layout>
                <c:manualLayout>
                  <c:x val="0"/>
                  <c:y val="-4.597701149425287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1E-47FA-8C19-73C61AD3C242}"/>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G6_Fig23!$A$2:$A$6</c:f>
              <c:strCache>
                <c:ptCount val="5"/>
                <c:pt idx="0">
                  <c:v>Somalia</c:v>
                </c:pt>
                <c:pt idx="1">
                  <c:v>Yemen</c:v>
                </c:pt>
                <c:pt idx="2">
                  <c:v>Mauritania</c:v>
                </c:pt>
                <c:pt idx="3">
                  <c:v>Djibouti</c:v>
                </c:pt>
                <c:pt idx="4">
                  <c:v>Syrian Arab Republic</c:v>
                </c:pt>
              </c:strCache>
            </c:strRef>
          </c:cat>
          <c:val>
            <c:numRef>
              <c:f>G6_Fig23!$C$2:$C$6</c:f>
              <c:numCache>
                <c:formatCode>0%</c:formatCode>
                <c:ptCount val="5"/>
                <c:pt idx="0">
                  <c:v>0.61</c:v>
                </c:pt>
                <c:pt idx="1">
                  <c:v>0.42</c:v>
                </c:pt>
                <c:pt idx="2">
                  <c:v>0.41</c:v>
                </c:pt>
                <c:pt idx="3">
                  <c:v>0.15</c:v>
                </c:pt>
                <c:pt idx="4">
                  <c:v>0.03</c:v>
                </c:pt>
              </c:numCache>
            </c:numRef>
          </c:val>
          <c:extLst>
            <c:ext xmlns:c16="http://schemas.microsoft.com/office/drawing/2014/chart" uri="{C3380CC4-5D6E-409C-BE32-E72D297353CC}">
              <c16:uniqueId val="{00000005-391E-47FA-8C19-73C61AD3C242}"/>
            </c:ext>
          </c:extLst>
        </c:ser>
        <c:ser>
          <c:idx val="1"/>
          <c:order val="1"/>
          <c:tx>
            <c:strRef>
              <c:f>G6_Fig23!$D$1</c:f>
              <c:strCache>
                <c:ptCount val="1"/>
                <c:pt idx="0">
                  <c:v>Male</c:v>
                </c:pt>
              </c:strCache>
            </c:strRef>
          </c:tx>
          <c:spPr>
            <a:solidFill>
              <a:schemeClr val="accent1"/>
            </a:solidFill>
            <a:ln>
              <a:noFill/>
            </a:ln>
            <a:effectLst/>
          </c:spPr>
          <c:invertIfNegative val="0"/>
          <c:dLbls>
            <c:dLbl>
              <c:idx val="0"/>
              <c:layout>
                <c:manualLayout>
                  <c:x val="-5.0925337632079971E-17"/>
                  <c:y val="-8.3333333333333329E-2"/>
                </c:manualLayout>
              </c:layout>
              <c:tx>
                <c:rich>
                  <a:bodyPr/>
                  <a:lstStyle/>
                  <a:p>
                    <a:fld id="{BC914DF9-3FC7-49BE-8D9D-6F10C41FCC5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91E-47FA-8C19-73C61AD3C242}"/>
                </c:ext>
              </c:extLst>
            </c:dLbl>
            <c:dLbl>
              <c:idx val="1"/>
              <c:layout>
                <c:manualLayout>
                  <c:x val="-2.7777777777777779E-3"/>
                  <c:y val="-6.4814450277048699E-2"/>
                </c:manualLayout>
              </c:layout>
              <c:tx>
                <c:rich>
                  <a:bodyPr/>
                  <a:lstStyle/>
                  <a:p>
                    <a:fld id="{C8FD5CFC-6021-42F1-AC50-5C00D58933E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91E-47FA-8C19-73C61AD3C242}"/>
                </c:ext>
              </c:extLst>
            </c:dLbl>
            <c:dLbl>
              <c:idx val="2"/>
              <c:layout>
                <c:manualLayout>
                  <c:x val="-1.0185067526415994E-16"/>
                  <c:y val="-8.3333333333333329E-2"/>
                </c:manualLayout>
              </c:layout>
              <c:tx>
                <c:rich>
                  <a:bodyPr/>
                  <a:lstStyle/>
                  <a:p>
                    <a:fld id="{6F45DA42-0D4B-43C2-BCFD-04B41A768FE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91E-47FA-8C19-73C61AD3C242}"/>
                </c:ext>
              </c:extLst>
            </c:dLbl>
            <c:dLbl>
              <c:idx val="3"/>
              <c:layout>
                <c:manualLayout>
                  <c:x val="0"/>
                  <c:y val="-3.7037037037036952E-2"/>
                </c:manualLayout>
              </c:layout>
              <c:tx>
                <c:rich>
                  <a:bodyPr/>
                  <a:lstStyle/>
                  <a:p>
                    <a:fld id="{00BA454E-73D8-4B81-BA20-007396395B9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91E-47FA-8C19-73C61AD3C242}"/>
                </c:ext>
              </c:extLst>
            </c:dLbl>
            <c:dLbl>
              <c:idx val="4"/>
              <c:layout>
                <c:manualLayout>
                  <c:x val="-1.0185067526415994E-16"/>
                  <c:y val="-5.5555555555555552E-2"/>
                </c:manualLayout>
              </c:layout>
              <c:tx>
                <c:rich>
                  <a:bodyPr/>
                  <a:lstStyle/>
                  <a:p>
                    <a:fld id="{C6B0A442-B751-4A89-BA7E-47E03631BEC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91E-47FA-8C19-73C61AD3C2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G6_Fig23!$A$2:$A$6</c:f>
              <c:strCache>
                <c:ptCount val="5"/>
                <c:pt idx="0">
                  <c:v>Somalia</c:v>
                </c:pt>
                <c:pt idx="1">
                  <c:v>Yemen</c:v>
                </c:pt>
                <c:pt idx="2">
                  <c:v>Mauritania</c:v>
                </c:pt>
                <c:pt idx="3">
                  <c:v>Djibouti</c:v>
                </c:pt>
                <c:pt idx="4">
                  <c:v>Syrian Arab Republic</c:v>
                </c:pt>
              </c:strCache>
            </c:strRef>
          </c:cat>
          <c:val>
            <c:numRef>
              <c:f>G6_Fig23!$D$2:$D$6</c:f>
              <c:numCache>
                <c:formatCode>0%</c:formatCode>
                <c:ptCount val="5"/>
                <c:pt idx="0">
                  <c:v>-0.24</c:v>
                </c:pt>
                <c:pt idx="1">
                  <c:v>-0.09</c:v>
                </c:pt>
                <c:pt idx="2">
                  <c:v>-0.21</c:v>
                </c:pt>
                <c:pt idx="3">
                  <c:v>-0.02</c:v>
                </c:pt>
                <c:pt idx="4">
                  <c:v>-0.1</c:v>
                </c:pt>
              </c:numCache>
            </c:numRef>
          </c:val>
          <c:extLst>
            <c:ext xmlns:c15="http://schemas.microsoft.com/office/drawing/2012/chart" uri="{02D57815-91ED-43cb-92C2-25804820EDAC}">
              <c15:datalabelsRange>
                <c15:f>G6_Fig23!$B$2:$B$6</c15:f>
                <c15:dlblRangeCache>
                  <c:ptCount val="5"/>
                  <c:pt idx="0">
                    <c:v>24%</c:v>
                  </c:pt>
                  <c:pt idx="1">
                    <c:v>9%</c:v>
                  </c:pt>
                  <c:pt idx="2">
                    <c:v>21%</c:v>
                  </c:pt>
                  <c:pt idx="3">
                    <c:v>2%</c:v>
                  </c:pt>
                  <c:pt idx="4">
                    <c:v>10%</c:v>
                  </c:pt>
                </c15:dlblRangeCache>
              </c15:datalabelsRange>
            </c:ext>
            <c:ext xmlns:c16="http://schemas.microsoft.com/office/drawing/2014/chart" uri="{C3380CC4-5D6E-409C-BE32-E72D297353CC}">
              <c16:uniqueId val="{0000000B-391E-47FA-8C19-73C61AD3C242}"/>
            </c:ext>
          </c:extLst>
        </c:ser>
        <c:dLbls>
          <c:showLegendKey val="0"/>
          <c:showVal val="0"/>
          <c:showCatName val="0"/>
          <c:showSerName val="0"/>
          <c:showPercent val="0"/>
          <c:showBubbleSize val="0"/>
        </c:dLbls>
        <c:gapWidth val="150"/>
        <c:overlap val="100"/>
        <c:axId val="150567504"/>
        <c:axId val="150570384"/>
      </c:barChart>
      <c:catAx>
        <c:axId val="150567504"/>
        <c:scaling>
          <c:orientation val="minMax"/>
        </c:scaling>
        <c:delete val="1"/>
        <c:axPos val="b"/>
        <c:numFmt formatCode="General" sourceLinked="1"/>
        <c:majorTickMark val="out"/>
        <c:minorTickMark val="none"/>
        <c:tickLblPos val="nextTo"/>
        <c:crossAx val="150570384"/>
        <c:crosses val="autoZero"/>
        <c:auto val="1"/>
        <c:lblAlgn val="ctr"/>
        <c:lblOffset val="100"/>
        <c:noMultiLvlLbl val="0"/>
      </c:catAx>
      <c:valAx>
        <c:axId val="150570384"/>
        <c:scaling>
          <c:orientation val="minMax"/>
          <c:max val="1"/>
          <c:min val="-0.4"/>
        </c:scaling>
        <c:delete val="1"/>
        <c:axPos val="l"/>
        <c:numFmt formatCode="0%" sourceLinked="1"/>
        <c:majorTickMark val="none"/>
        <c:minorTickMark val="none"/>
        <c:tickLblPos val="nextTo"/>
        <c:crossAx val="150567504"/>
        <c:crosses val="autoZero"/>
        <c:crossBetween val="between"/>
        <c:minorUnit val="1.0000000000000002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Land</a:t>
            </a:r>
            <a:r>
              <a:rPr lang="en-US" sz="1000" baseline="0"/>
              <a:t> tenure (%)</a:t>
            </a:r>
            <a:endParaRPr lang="en-US"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PB_5!$B$1</c:f>
              <c:strCache>
                <c:ptCount val="1"/>
                <c:pt idx="0">
                  <c:v>Female</c:v>
                </c:pt>
              </c:strCache>
            </c:strRef>
          </c:tx>
          <c:spPr>
            <a:solidFill>
              <a:schemeClr val="accent2"/>
            </a:solidFill>
            <a:ln>
              <a:noFill/>
            </a:ln>
            <a:effectLst/>
          </c:spPr>
          <c:invertIfNegative val="0"/>
          <c:cat>
            <c:strRef>
              <c:f>PB_5!$A$2:$A$7</c:f>
              <c:strCache>
                <c:ptCount val="6"/>
                <c:pt idx="0">
                  <c:v>Lebanon</c:v>
                </c:pt>
                <c:pt idx="1">
                  <c:v>Tunisia</c:v>
                </c:pt>
                <c:pt idx="2">
                  <c:v>Egypt</c:v>
                </c:pt>
                <c:pt idx="3">
                  <c:v>Morocco</c:v>
                </c:pt>
                <c:pt idx="4">
                  <c:v>Algeria</c:v>
                </c:pt>
                <c:pt idx="5">
                  <c:v>Jordan</c:v>
                </c:pt>
              </c:strCache>
            </c:strRef>
          </c:cat>
          <c:val>
            <c:numRef>
              <c:f>PB_5!$B$2:$B$7</c:f>
              <c:numCache>
                <c:formatCode>0%</c:formatCode>
                <c:ptCount val="6"/>
                <c:pt idx="0">
                  <c:v>7.0999999999999994E-2</c:v>
                </c:pt>
                <c:pt idx="1">
                  <c:v>6.4000000000000001E-2</c:v>
                </c:pt>
                <c:pt idx="2">
                  <c:v>5.1999999999999998E-2</c:v>
                </c:pt>
                <c:pt idx="3">
                  <c:v>4.3999999999999997E-2</c:v>
                </c:pt>
                <c:pt idx="4">
                  <c:v>4.1000000000000002E-2</c:v>
                </c:pt>
                <c:pt idx="5">
                  <c:v>0.03</c:v>
                </c:pt>
              </c:numCache>
            </c:numRef>
          </c:val>
          <c:extLst>
            <c:ext xmlns:c16="http://schemas.microsoft.com/office/drawing/2014/chart" uri="{C3380CC4-5D6E-409C-BE32-E72D297353CC}">
              <c16:uniqueId val="{00000000-EE17-4DAB-9714-CA95F78C8241}"/>
            </c:ext>
          </c:extLst>
        </c:ser>
        <c:ser>
          <c:idx val="1"/>
          <c:order val="1"/>
          <c:tx>
            <c:strRef>
              <c:f>PB_5!$C$1</c:f>
              <c:strCache>
                <c:ptCount val="1"/>
                <c:pt idx="0">
                  <c:v>Male</c:v>
                </c:pt>
              </c:strCache>
            </c:strRef>
          </c:tx>
          <c:spPr>
            <a:solidFill>
              <a:schemeClr val="accent3"/>
            </a:solidFill>
            <a:ln>
              <a:noFill/>
            </a:ln>
            <a:effectLst/>
          </c:spPr>
          <c:invertIfNegative val="0"/>
          <c:cat>
            <c:strRef>
              <c:f>PB_5!$A$2:$A$7</c:f>
              <c:strCache>
                <c:ptCount val="6"/>
                <c:pt idx="0">
                  <c:v>Lebanon</c:v>
                </c:pt>
                <c:pt idx="1">
                  <c:v>Tunisia</c:v>
                </c:pt>
                <c:pt idx="2">
                  <c:v>Egypt</c:v>
                </c:pt>
                <c:pt idx="3">
                  <c:v>Morocco</c:v>
                </c:pt>
                <c:pt idx="4">
                  <c:v>Algeria</c:v>
                </c:pt>
                <c:pt idx="5">
                  <c:v>Jordan</c:v>
                </c:pt>
              </c:strCache>
            </c:strRef>
          </c:cat>
          <c:val>
            <c:numRef>
              <c:f>PB_5!$C$2:$C$7</c:f>
              <c:numCache>
                <c:formatCode>0%</c:formatCode>
                <c:ptCount val="6"/>
                <c:pt idx="0">
                  <c:v>0.92600000000000005</c:v>
                </c:pt>
                <c:pt idx="1">
                  <c:v>0.93600000000000005</c:v>
                </c:pt>
                <c:pt idx="2">
                  <c:v>0.94799999999999995</c:v>
                </c:pt>
                <c:pt idx="3">
                  <c:v>0.95599999999999996</c:v>
                </c:pt>
                <c:pt idx="4">
                  <c:v>0.95899999999999996</c:v>
                </c:pt>
                <c:pt idx="5">
                  <c:v>0.97</c:v>
                </c:pt>
              </c:numCache>
            </c:numRef>
          </c:val>
          <c:extLst>
            <c:ext xmlns:c16="http://schemas.microsoft.com/office/drawing/2014/chart" uri="{C3380CC4-5D6E-409C-BE32-E72D297353CC}">
              <c16:uniqueId val="{00000001-EE17-4DAB-9714-CA95F78C8241}"/>
            </c:ext>
          </c:extLst>
        </c:ser>
        <c:dLbls>
          <c:showLegendKey val="0"/>
          <c:showVal val="0"/>
          <c:showCatName val="0"/>
          <c:showSerName val="0"/>
          <c:showPercent val="0"/>
          <c:showBubbleSize val="0"/>
        </c:dLbls>
        <c:gapWidth val="150"/>
        <c:overlap val="100"/>
        <c:axId val="1486068016"/>
        <c:axId val="1486068976"/>
      </c:barChart>
      <c:catAx>
        <c:axId val="1486068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6068976"/>
        <c:crosses val="autoZero"/>
        <c:auto val="1"/>
        <c:lblAlgn val="ctr"/>
        <c:lblOffset val="100"/>
        <c:noMultiLvlLbl val="0"/>
      </c:catAx>
      <c:valAx>
        <c:axId val="1486068976"/>
        <c:scaling>
          <c:orientation val="minMax"/>
          <c:max val="1"/>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6068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lang="en-US" sz="900" b="0" i="0" u="none" strike="noStrike" kern="1200" spc="0" baseline="0">
                <a:solidFill>
                  <a:sysClr val="windowText" lastClr="000000">
                    <a:lumMod val="65000"/>
                    <a:lumOff val="35000"/>
                  </a:sysClr>
                </a:solidFill>
                <a:latin typeface="+mn-lt"/>
                <a:ea typeface="+mn-ea"/>
                <a:cs typeface="+mn-cs"/>
              </a:defRPr>
            </a:pPr>
            <a:r>
              <a:rPr lang="en-US" sz="900" b="0" i="0" u="none" strike="noStrike" kern="1200" spc="0" baseline="0">
                <a:solidFill>
                  <a:sysClr val="windowText" lastClr="000000">
                    <a:lumMod val="65000"/>
                    <a:lumOff val="35000"/>
                  </a:sysClr>
                </a:solidFill>
                <a:latin typeface="+mn-lt"/>
                <a:ea typeface="+mn-ea"/>
                <a:cs typeface="+mn-cs"/>
              </a:rPr>
              <a:t>University Enrollment</a:t>
            </a:r>
          </a:p>
        </c:rich>
      </c:tx>
      <c:overlay val="0"/>
    </c:title>
    <c:autoTitleDeleted val="0"/>
    <c:plotArea>
      <c:layout>
        <c:manualLayout>
          <c:layoutTarget val="inner"/>
          <c:xMode val="edge"/>
          <c:yMode val="edge"/>
          <c:x val="9.5776963511279845E-2"/>
          <c:y val="3.7146645298140489E-3"/>
          <c:w val="0.81928650112528301"/>
          <c:h val="0.97040987236008702"/>
        </c:manualLayout>
      </c:layout>
      <c:lineChart>
        <c:grouping val="standard"/>
        <c:varyColors val="0"/>
        <c:ser>
          <c:idx val="0"/>
          <c:order val="0"/>
          <c:tx>
            <c:strRef>
              <c:f>'Section I_Fig3'!$B$2</c:f>
              <c:strCache>
                <c:ptCount val="1"/>
                <c:pt idx="0">
                  <c:v>Female</c:v>
                </c:pt>
              </c:strCache>
            </c:strRef>
          </c:tx>
          <c:spPr>
            <a:ln w="19050">
              <a:noFill/>
            </a:ln>
          </c:spPr>
          <c:marker>
            <c:symbol val="circle"/>
            <c:size val="6"/>
            <c:spPr>
              <a:solidFill>
                <a:schemeClr val="accent2"/>
              </a:solidFill>
              <a:ln w="9525">
                <a:noFill/>
              </a:ln>
              <a:effectLst/>
            </c:spPr>
          </c:marker>
          <c:dPt>
            <c:idx val="0"/>
            <c:marker>
              <c:spPr>
                <a:solidFill>
                  <a:srgbClr val="0070C0"/>
                </a:solidFill>
                <a:ln w="9525">
                  <a:noFill/>
                </a:ln>
                <a:effectLst/>
              </c:spPr>
            </c:marker>
            <c:bubble3D val="0"/>
            <c:extLst>
              <c:ext xmlns:c16="http://schemas.microsoft.com/office/drawing/2014/chart" uri="{C3380CC4-5D6E-409C-BE32-E72D297353CC}">
                <c16:uniqueId val="{00000000-1950-47F1-AEF9-876BD176D501}"/>
              </c:ext>
            </c:extLst>
          </c:dPt>
          <c:dPt>
            <c:idx val="2"/>
            <c:marker>
              <c:spPr>
                <a:solidFill>
                  <a:srgbClr val="A6A6A6"/>
                </a:solidFill>
                <a:ln w="9525">
                  <a:noFill/>
                </a:ln>
                <a:effectLst/>
              </c:spPr>
            </c:marker>
            <c:bubble3D val="0"/>
            <c:extLst>
              <c:ext xmlns:c16="http://schemas.microsoft.com/office/drawing/2014/chart" uri="{C3380CC4-5D6E-409C-BE32-E72D297353CC}">
                <c16:uniqueId val="{00000001-1950-47F1-AEF9-876BD176D501}"/>
              </c:ext>
            </c:extLst>
          </c:dPt>
          <c:dPt>
            <c:idx val="3"/>
            <c:marker>
              <c:spPr>
                <a:solidFill>
                  <a:srgbClr val="FFFF66"/>
                </a:solidFill>
                <a:ln w="9525">
                  <a:noFill/>
                </a:ln>
                <a:effectLst/>
              </c:spPr>
            </c:marker>
            <c:bubble3D val="0"/>
            <c:extLst>
              <c:ext xmlns:c16="http://schemas.microsoft.com/office/drawing/2014/chart" uri="{C3380CC4-5D6E-409C-BE32-E72D297353CC}">
                <c16:uniqueId val="{00000002-1950-47F1-AEF9-876BD176D501}"/>
              </c:ext>
            </c:extLst>
          </c:dPt>
          <c:dPt>
            <c:idx val="4"/>
            <c:marker>
              <c:spPr>
                <a:solidFill>
                  <a:srgbClr val="4E95D9"/>
                </a:solidFill>
                <a:ln w="9525">
                  <a:noFill/>
                </a:ln>
                <a:effectLst/>
              </c:spPr>
            </c:marker>
            <c:bubble3D val="0"/>
            <c:extLst>
              <c:ext xmlns:c16="http://schemas.microsoft.com/office/drawing/2014/chart" uri="{C3380CC4-5D6E-409C-BE32-E72D297353CC}">
                <c16:uniqueId val="{00000003-1950-47F1-AEF9-876BD176D501}"/>
              </c:ext>
            </c:extLst>
          </c:dPt>
          <c:dPt>
            <c:idx val="5"/>
            <c:marker>
              <c:spPr>
                <a:solidFill>
                  <a:srgbClr val="92D050"/>
                </a:solidFill>
                <a:ln w="9525">
                  <a:noFill/>
                </a:ln>
                <a:effectLst/>
              </c:spPr>
            </c:marker>
            <c:bubble3D val="0"/>
            <c:extLst>
              <c:ext xmlns:c16="http://schemas.microsoft.com/office/drawing/2014/chart" uri="{C3380CC4-5D6E-409C-BE32-E72D297353CC}">
                <c16:uniqueId val="{00000004-1950-47F1-AEF9-876BD176D501}"/>
              </c:ext>
            </c:extLst>
          </c:dPt>
          <c:dLbls>
            <c:dLbl>
              <c:idx val="3"/>
              <c:layout>
                <c:manualLayout>
                  <c:x val="8.8207335835029134E-3"/>
                  <c:y val="1.36680248741073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50-47F1-AEF9-876BD176D50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'Section I_Fig3'!$A$3:$A$8</c:f>
              <c:strCache>
                <c:ptCount val="6"/>
                <c:pt idx="0">
                  <c:v>Latin America and Caribbean</c:v>
                </c:pt>
                <c:pt idx="1">
                  <c:v>Europe and Central Asia</c:v>
                </c:pt>
                <c:pt idx="2">
                  <c:v>East Asia and Pacific</c:v>
                </c:pt>
                <c:pt idx="3">
                  <c:v>Sub-Saharan Africa</c:v>
                </c:pt>
                <c:pt idx="4">
                  <c:v>South Asia</c:v>
                </c:pt>
                <c:pt idx="5">
                  <c:v>Arab Region</c:v>
                </c:pt>
              </c:strCache>
            </c:strRef>
          </c:cat>
          <c:val>
            <c:numRef>
              <c:f>'Section I_Fig3'!$B$3:$B$8</c:f>
              <c:numCache>
                <c:formatCode>#0"%"</c:formatCode>
                <c:ptCount val="6"/>
                <c:pt idx="0">
                  <c:v>65.683090209960895</c:v>
                </c:pt>
                <c:pt idx="1">
                  <c:v>85.799797058105497</c:v>
                </c:pt>
                <c:pt idx="2">
                  <c:v>63.873199462890597</c:v>
                </c:pt>
                <c:pt idx="3">
                  <c:v>8.2863197326660192</c:v>
                </c:pt>
                <c:pt idx="4">
                  <c:v>27.410810470581101</c:v>
                </c:pt>
                <c:pt idx="5">
                  <c:v>35.01</c:v>
                </c:pt>
              </c:numCache>
            </c:numRef>
          </c:val>
          <c:smooth val="0"/>
          <c:extLst>
            <c:ext xmlns:c16="http://schemas.microsoft.com/office/drawing/2014/chart" uri="{C3380CC4-5D6E-409C-BE32-E72D297353CC}">
              <c16:uniqueId val="{00000005-1950-47F1-AEF9-876BD176D501}"/>
            </c:ext>
          </c:extLst>
        </c:ser>
        <c:ser>
          <c:idx val="1"/>
          <c:order val="1"/>
          <c:tx>
            <c:strRef>
              <c:f>'Section I_Fig3'!$C$2</c:f>
              <c:strCache>
                <c:ptCount val="1"/>
                <c:pt idx="0">
                  <c:v>Male</c:v>
                </c:pt>
              </c:strCache>
            </c:strRef>
          </c:tx>
          <c:spPr>
            <a:ln w="19050">
              <a:noFill/>
            </a:ln>
          </c:spPr>
          <c:marker>
            <c:symbol val="diamond"/>
            <c:size val="7"/>
            <c:spPr>
              <a:ln>
                <a:noFill/>
              </a:ln>
            </c:spPr>
          </c:marker>
          <c:dPt>
            <c:idx val="0"/>
            <c:marker>
              <c:spPr>
                <a:solidFill>
                  <a:srgbClr val="0070C0"/>
                </a:solidFill>
                <a:ln>
                  <a:noFill/>
                </a:ln>
              </c:spPr>
            </c:marker>
            <c:bubble3D val="0"/>
            <c:extLst>
              <c:ext xmlns:c16="http://schemas.microsoft.com/office/drawing/2014/chart" uri="{C3380CC4-5D6E-409C-BE32-E72D297353CC}">
                <c16:uniqueId val="{00000006-1950-47F1-AEF9-876BD176D501}"/>
              </c:ext>
            </c:extLst>
          </c:dPt>
          <c:dPt>
            <c:idx val="2"/>
            <c:marker>
              <c:spPr>
                <a:solidFill>
                  <a:srgbClr val="A6A6A6"/>
                </a:solidFill>
                <a:ln>
                  <a:noFill/>
                </a:ln>
              </c:spPr>
            </c:marker>
            <c:bubble3D val="0"/>
            <c:extLst>
              <c:ext xmlns:c16="http://schemas.microsoft.com/office/drawing/2014/chart" uri="{C3380CC4-5D6E-409C-BE32-E72D297353CC}">
                <c16:uniqueId val="{00000007-1950-47F1-AEF9-876BD176D501}"/>
              </c:ext>
            </c:extLst>
          </c:dPt>
          <c:dPt>
            <c:idx val="3"/>
            <c:marker>
              <c:spPr>
                <a:solidFill>
                  <a:srgbClr val="FFFF66"/>
                </a:solidFill>
                <a:ln>
                  <a:noFill/>
                </a:ln>
              </c:spPr>
            </c:marker>
            <c:bubble3D val="0"/>
            <c:extLst>
              <c:ext xmlns:c16="http://schemas.microsoft.com/office/drawing/2014/chart" uri="{C3380CC4-5D6E-409C-BE32-E72D297353CC}">
                <c16:uniqueId val="{00000008-1950-47F1-AEF9-876BD176D501}"/>
              </c:ext>
            </c:extLst>
          </c:dPt>
          <c:dPt>
            <c:idx val="4"/>
            <c:marker>
              <c:spPr>
                <a:solidFill>
                  <a:srgbClr val="4E95D9"/>
                </a:solidFill>
                <a:ln>
                  <a:noFill/>
                </a:ln>
              </c:spPr>
            </c:marker>
            <c:bubble3D val="0"/>
            <c:extLst>
              <c:ext xmlns:c16="http://schemas.microsoft.com/office/drawing/2014/chart" uri="{C3380CC4-5D6E-409C-BE32-E72D297353CC}">
                <c16:uniqueId val="{00000009-1950-47F1-AEF9-876BD176D501}"/>
              </c:ext>
            </c:extLst>
          </c:dPt>
          <c:dPt>
            <c:idx val="5"/>
            <c:marker>
              <c:spPr>
                <a:solidFill>
                  <a:srgbClr val="92D050"/>
                </a:solidFill>
                <a:ln>
                  <a:noFill/>
                </a:ln>
              </c:spPr>
            </c:marker>
            <c:bubble3D val="0"/>
            <c:extLst>
              <c:ext xmlns:c16="http://schemas.microsoft.com/office/drawing/2014/chart" uri="{C3380CC4-5D6E-409C-BE32-E72D297353CC}">
                <c16:uniqueId val="{0000000A-1950-47F1-AEF9-876BD176D501}"/>
              </c:ext>
            </c:extLst>
          </c:dPt>
          <c:dLbls>
            <c:dLbl>
              <c:idx val="3"/>
              <c:layout>
                <c:manualLayout>
                  <c:x val="-0.15396055916007467"/>
                  <c:y val="4.12435533189984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50-47F1-AEF9-876BD176D501}"/>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'Section I_Fig3'!$A$3:$A$8</c:f>
              <c:strCache>
                <c:ptCount val="6"/>
                <c:pt idx="0">
                  <c:v>Latin America and Caribbean</c:v>
                </c:pt>
                <c:pt idx="1">
                  <c:v>Europe and Central Asia</c:v>
                </c:pt>
                <c:pt idx="2">
                  <c:v>East Asia and Pacific</c:v>
                </c:pt>
                <c:pt idx="3">
                  <c:v>Sub-Saharan Africa</c:v>
                </c:pt>
                <c:pt idx="4">
                  <c:v>South Asia</c:v>
                </c:pt>
                <c:pt idx="5">
                  <c:v>Arab Region</c:v>
                </c:pt>
              </c:strCache>
            </c:strRef>
          </c:cat>
          <c:val>
            <c:numRef>
              <c:f>'Section I_Fig3'!$C$3:$C$8</c:f>
              <c:numCache>
                <c:formatCode>#0"%"</c:formatCode>
                <c:ptCount val="6"/>
                <c:pt idx="0">
                  <c:v>47.495029449462898</c:v>
                </c:pt>
                <c:pt idx="1">
                  <c:v>72.193260192871094</c:v>
                </c:pt>
                <c:pt idx="2">
                  <c:v>55.417671203613303</c:v>
                </c:pt>
                <c:pt idx="3">
                  <c:v>10.4996995925903</c:v>
                </c:pt>
                <c:pt idx="4">
                  <c:v>27.186729431152301</c:v>
                </c:pt>
                <c:pt idx="5">
                  <c:v>32.090000000000003</c:v>
                </c:pt>
              </c:numCache>
            </c:numRef>
          </c:val>
          <c:smooth val="0"/>
          <c:extLst>
            <c:ext xmlns:c16="http://schemas.microsoft.com/office/drawing/2014/chart" uri="{C3380CC4-5D6E-409C-BE32-E72D297353CC}">
              <c16:uniqueId val="{0000000B-1950-47F1-AEF9-876BD176D501}"/>
            </c:ext>
          </c:extLst>
        </c:ser>
        <c:dLbls>
          <c:dLblPos val="t"/>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300372720"/>
        <c:axId val="300373280"/>
      </c:lineChart>
      <c:catAx>
        <c:axId val="300372720"/>
        <c:scaling>
          <c:orientation val="minMax"/>
        </c:scaling>
        <c:delete val="1"/>
        <c:axPos val="b"/>
        <c:numFmt formatCode="General" sourceLinked="1"/>
        <c:majorTickMark val="none"/>
        <c:minorTickMark val="none"/>
        <c:tickLblPos val="nextTo"/>
        <c:crossAx val="300373280"/>
        <c:crosses val="autoZero"/>
        <c:auto val="1"/>
        <c:lblAlgn val="ctr"/>
        <c:lblOffset val="100"/>
        <c:noMultiLvlLbl val="0"/>
      </c:catAx>
      <c:valAx>
        <c:axId val="300373280"/>
        <c:scaling>
          <c:orientation val="minMax"/>
          <c:max val="100"/>
          <c:min val="0"/>
        </c:scaling>
        <c:delete val="1"/>
        <c:axPos val="l"/>
        <c:numFmt formatCode="#,##0" sourceLinked="0"/>
        <c:majorTickMark val="none"/>
        <c:minorTickMark val="none"/>
        <c:tickLblPos val="nextTo"/>
        <c:crossAx val="300372720"/>
        <c:crosses val="autoZero"/>
        <c:crossBetween val="between"/>
        <c:majorUnit val="10"/>
      </c:valAx>
      <c:spPr>
        <a:noFill/>
        <a:ln>
          <a:noFill/>
        </a:ln>
        <a:effectLst/>
      </c:spPr>
    </c:plotArea>
    <c:legend>
      <c:legendPos val="b"/>
      <c:layout>
        <c:manualLayout>
          <c:xMode val="edge"/>
          <c:yMode val="edge"/>
          <c:x val="0.23916680692288908"/>
          <c:y val="0.92725264400636442"/>
          <c:w val="0.52166591204868118"/>
          <c:h val="7.2747355993635437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E8E8E8"/>
      </a:solidFill>
      <a:round/>
    </a:ln>
    <a:effectLst/>
  </c:spPr>
  <c:txPr>
    <a:bodyPr/>
    <a:lstStyle/>
    <a:p>
      <a:pPr>
        <a:defRPr>
          <a:solidFill>
            <a:schemeClr val="tx1">
              <a:lumMod val="95000"/>
              <a:lumOff val="5000"/>
            </a:schemeClr>
          </a:solidFill>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Women's share</a:t>
            </a:r>
            <a:r>
              <a:rPr lang="en-US" sz="1000" baseline="0"/>
              <a:t> in public positions (%)</a:t>
            </a:r>
            <a:endParaRPr lang="en-US"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PB_6!$A$2</c:f>
              <c:strCache>
                <c:ptCount val="1"/>
                <c:pt idx="0">
                  <c:v>National Parliaments</c:v>
                </c:pt>
              </c:strCache>
            </c:strRef>
          </c:tx>
          <c:spPr>
            <a:solidFill>
              <a:schemeClr val="tx2">
                <a:lumMod val="75000"/>
                <a:lumOff val="25000"/>
              </a:schemeClr>
            </a:solidFill>
            <a:ln>
              <a:noFill/>
            </a:ln>
            <a:effectLst/>
          </c:spPr>
          <c:invertIfNegative val="0"/>
          <c:cat>
            <c:strRef>
              <c:f>PB_6!$B$1:$C$1</c:f>
              <c:strCache>
                <c:ptCount val="2"/>
                <c:pt idx="0">
                  <c:v>Arab average</c:v>
                </c:pt>
                <c:pt idx="1">
                  <c:v>World average</c:v>
                </c:pt>
              </c:strCache>
            </c:strRef>
          </c:cat>
          <c:val>
            <c:numRef>
              <c:f>PB_6!$B$2:$C$2</c:f>
              <c:numCache>
                <c:formatCode>0%</c:formatCode>
                <c:ptCount val="2"/>
                <c:pt idx="0">
                  <c:v>0.17699999999999999</c:v>
                </c:pt>
                <c:pt idx="1">
                  <c:v>0.26900000000000002</c:v>
                </c:pt>
              </c:numCache>
            </c:numRef>
          </c:val>
          <c:extLst>
            <c:ext xmlns:c16="http://schemas.microsoft.com/office/drawing/2014/chart" uri="{C3380CC4-5D6E-409C-BE32-E72D297353CC}">
              <c16:uniqueId val="{00000000-AC61-4276-92C3-3F8B4CA03B67}"/>
            </c:ext>
          </c:extLst>
        </c:ser>
        <c:ser>
          <c:idx val="1"/>
          <c:order val="1"/>
          <c:tx>
            <c:strRef>
              <c:f>PB_6!$A$3</c:f>
              <c:strCache>
                <c:ptCount val="1"/>
                <c:pt idx="0">
                  <c:v>Ministerial Positions</c:v>
                </c:pt>
              </c:strCache>
            </c:strRef>
          </c:tx>
          <c:spPr>
            <a:solidFill>
              <a:schemeClr val="accent3">
                <a:lumMod val="60000"/>
                <a:lumOff val="40000"/>
              </a:schemeClr>
            </a:solidFill>
            <a:ln>
              <a:noFill/>
            </a:ln>
            <a:effectLst/>
          </c:spPr>
          <c:invertIfNegative val="0"/>
          <c:cat>
            <c:strRef>
              <c:f>PB_6!$B$1:$C$1</c:f>
              <c:strCache>
                <c:ptCount val="2"/>
                <c:pt idx="0">
                  <c:v>Arab average</c:v>
                </c:pt>
                <c:pt idx="1">
                  <c:v>World average</c:v>
                </c:pt>
              </c:strCache>
            </c:strRef>
          </c:cat>
          <c:val>
            <c:numRef>
              <c:f>PB_6!$B$3:$C$3</c:f>
              <c:numCache>
                <c:formatCode>0%</c:formatCode>
                <c:ptCount val="2"/>
                <c:pt idx="0">
                  <c:v>0.16300000000000001</c:v>
                </c:pt>
                <c:pt idx="1">
                  <c:v>0.23300000000000001</c:v>
                </c:pt>
              </c:numCache>
            </c:numRef>
          </c:val>
          <c:extLst>
            <c:ext xmlns:c16="http://schemas.microsoft.com/office/drawing/2014/chart" uri="{C3380CC4-5D6E-409C-BE32-E72D297353CC}">
              <c16:uniqueId val="{00000001-AC61-4276-92C3-3F8B4CA03B67}"/>
            </c:ext>
          </c:extLst>
        </c:ser>
        <c:ser>
          <c:idx val="2"/>
          <c:order val="2"/>
          <c:tx>
            <c:strRef>
              <c:f>PB_6!$A$4</c:f>
              <c:strCache>
                <c:ptCount val="1"/>
                <c:pt idx="0">
                  <c:v>Local Governments</c:v>
                </c:pt>
              </c:strCache>
            </c:strRef>
          </c:tx>
          <c:spPr>
            <a:solidFill>
              <a:schemeClr val="accent5">
                <a:lumMod val="20000"/>
                <a:lumOff val="80000"/>
              </a:schemeClr>
            </a:solidFill>
            <a:ln>
              <a:noFill/>
            </a:ln>
            <a:effectLst/>
          </c:spPr>
          <c:invertIfNegative val="0"/>
          <c:cat>
            <c:strRef>
              <c:f>PB_6!$B$1:$C$1</c:f>
              <c:strCache>
                <c:ptCount val="2"/>
                <c:pt idx="0">
                  <c:v>Arab average</c:v>
                </c:pt>
                <c:pt idx="1">
                  <c:v>World average</c:v>
                </c:pt>
              </c:strCache>
            </c:strRef>
          </c:cat>
          <c:val>
            <c:numRef>
              <c:f>PB_6!$B$4:$C$4</c:f>
              <c:numCache>
                <c:formatCode>0%</c:formatCode>
                <c:ptCount val="2"/>
                <c:pt idx="0">
                  <c:v>0.19500000000000001</c:v>
                </c:pt>
                <c:pt idx="1">
                  <c:v>0.35499999999999998</c:v>
                </c:pt>
              </c:numCache>
            </c:numRef>
          </c:val>
          <c:extLst>
            <c:ext xmlns:c16="http://schemas.microsoft.com/office/drawing/2014/chart" uri="{C3380CC4-5D6E-409C-BE32-E72D297353CC}">
              <c16:uniqueId val="{00000002-AC61-4276-92C3-3F8B4CA03B67}"/>
            </c:ext>
          </c:extLst>
        </c:ser>
        <c:dLbls>
          <c:showLegendKey val="0"/>
          <c:showVal val="0"/>
          <c:showCatName val="0"/>
          <c:showSerName val="0"/>
          <c:showPercent val="0"/>
          <c:showBubbleSize val="0"/>
        </c:dLbls>
        <c:gapWidth val="182"/>
        <c:axId val="591054256"/>
        <c:axId val="591054736"/>
      </c:barChart>
      <c:catAx>
        <c:axId val="5910542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054736"/>
        <c:crosses val="autoZero"/>
        <c:auto val="1"/>
        <c:lblAlgn val="ctr"/>
        <c:lblOffset val="100"/>
        <c:noMultiLvlLbl val="0"/>
      </c:catAx>
      <c:valAx>
        <c:axId val="591054736"/>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05425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PB_7!$B$1</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PB_7!$A$2:$A$4</c:f>
              <c:strCache>
                <c:ptCount val="3"/>
                <c:pt idx="0">
                  <c:v>Workers with Advanced Education</c:v>
                </c:pt>
                <c:pt idx="1">
                  <c:v>Unemployed with Advanced Education</c:v>
                </c:pt>
                <c:pt idx="2">
                  <c:v>Labour Force Participation Rate</c:v>
                </c:pt>
              </c:strCache>
            </c:strRef>
          </c:cat>
          <c:val>
            <c:numRef>
              <c:f>PB_7!$B$2:$B$4</c:f>
              <c:numCache>
                <c:formatCode>0%</c:formatCode>
                <c:ptCount val="3"/>
                <c:pt idx="0">
                  <c:v>0.56000000000000005</c:v>
                </c:pt>
                <c:pt idx="1">
                  <c:v>0.23</c:v>
                </c:pt>
                <c:pt idx="2">
                  <c:v>0.21</c:v>
                </c:pt>
              </c:numCache>
            </c:numRef>
          </c:val>
          <c:extLst>
            <c:ext xmlns:c16="http://schemas.microsoft.com/office/drawing/2014/chart" uri="{C3380CC4-5D6E-409C-BE32-E72D297353CC}">
              <c16:uniqueId val="{00000000-60D7-4A7A-A7D3-0C0A03345FD3}"/>
            </c:ext>
          </c:extLst>
        </c:ser>
        <c:ser>
          <c:idx val="1"/>
          <c:order val="1"/>
          <c:tx>
            <c:strRef>
              <c:f>PB_7!$C$1</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PB_7!$A$2:$A$4</c:f>
              <c:strCache>
                <c:ptCount val="3"/>
                <c:pt idx="0">
                  <c:v>Workers with Advanced Education</c:v>
                </c:pt>
                <c:pt idx="1">
                  <c:v>Unemployed with Advanced Education</c:v>
                </c:pt>
                <c:pt idx="2">
                  <c:v>Labour Force Participation Rate</c:v>
                </c:pt>
              </c:strCache>
            </c:strRef>
          </c:cat>
          <c:val>
            <c:numRef>
              <c:f>PB_7!$C$2:$C$4</c:f>
              <c:numCache>
                <c:formatCode>0%</c:formatCode>
                <c:ptCount val="3"/>
                <c:pt idx="0">
                  <c:v>0.81</c:v>
                </c:pt>
                <c:pt idx="1">
                  <c:v>0.1</c:v>
                </c:pt>
                <c:pt idx="2">
                  <c:v>0.68</c:v>
                </c:pt>
              </c:numCache>
            </c:numRef>
          </c:val>
          <c:extLst>
            <c:ext xmlns:c16="http://schemas.microsoft.com/office/drawing/2014/chart" uri="{C3380CC4-5D6E-409C-BE32-E72D297353CC}">
              <c16:uniqueId val="{00000001-60D7-4A7A-A7D3-0C0A03345FD3}"/>
            </c:ext>
          </c:extLst>
        </c:ser>
        <c:dLbls>
          <c:dLblPos val="outEnd"/>
          <c:showLegendKey val="0"/>
          <c:showVal val="1"/>
          <c:showCatName val="0"/>
          <c:showSerName val="0"/>
          <c:showPercent val="0"/>
          <c:showBubbleSize val="0"/>
        </c:dLbls>
        <c:gapWidth val="219"/>
        <c:overlap val="-27"/>
        <c:axId val="174621935"/>
        <c:axId val="174609455"/>
      </c:barChart>
      <c:catAx>
        <c:axId val="174621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609455"/>
        <c:crosses val="autoZero"/>
        <c:auto val="1"/>
        <c:lblAlgn val="ctr"/>
        <c:lblOffset val="100"/>
        <c:noMultiLvlLbl val="0"/>
      </c:catAx>
      <c:valAx>
        <c:axId val="174609455"/>
        <c:scaling>
          <c:orientation val="minMax"/>
        </c:scaling>
        <c:delete val="1"/>
        <c:axPos val="l"/>
        <c:numFmt formatCode="0%" sourceLinked="1"/>
        <c:majorTickMark val="none"/>
        <c:minorTickMark val="none"/>
        <c:tickLblPos val="nextTo"/>
        <c:crossAx val="174621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Labour</a:t>
            </a:r>
            <a:r>
              <a:rPr lang="en-US" baseline="0"/>
              <a:t> Participation Rate, rural 2020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[3]EAP_2WAP_SEX_AGE_GEO_RT_EN!$K$152:$K$153</c:f>
              <c:strCache>
                <c:ptCount val="2"/>
                <c:pt idx="0">
                  <c:v>Female</c:v>
                </c:pt>
                <c:pt idx="1">
                  <c:v>Male</c:v>
                </c:pt>
              </c:strCache>
            </c:strRef>
          </c:cat>
          <c:val>
            <c:numRef>
              <c:f>[3]EAP_2WAP_SEX_AGE_GEO_RT_EN!$L$152:$L$153</c:f>
              <c:numCache>
                <c:formatCode>General</c:formatCode>
                <c:ptCount val="2"/>
                <c:pt idx="0">
                  <c:v>0.184</c:v>
                </c:pt>
                <c:pt idx="1">
                  <c:v>0.70700000000000007</c:v>
                </c:pt>
              </c:numCache>
            </c:numRef>
          </c:val>
          <c:extLst>
            <c:ext xmlns:c16="http://schemas.microsoft.com/office/drawing/2014/chart" uri="{C3380CC4-5D6E-409C-BE32-E72D297353CC}">
              <c16:uniqueId val="{00000000-6D41-4512-9B8E-0557C9EC3CA0}"/>
            </c:ext>
          </c:extLst>
        </c:ser>
        <c:dLbls>
          <c:showLegendKey val="0"/>
          <c:showVal val="0"/>
          <c:showCatName val="0"/>
          <c:showSerName val="0"/>
          <c:showPercent val="0"/>
          <c:showBubbleSize val="0"/>
        </c:dLbls>
        <c:gapWidth val="219"/>
        <c:axId val="152581631"/>
        <c:axId val="152583551"/>
      </c:barChart>
      <c:catAx>
        <c:axId val="1525816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583551"/>
        <c:crosses val="autoZero"/>
        <c:auto val="1"/>
        <c:lblAlgn val="ctr"/>
        <c:lblOffset val="100"/>
        <c:noMultiLvlLbl val="0"/>
      </c:catAx>
      <c:valAx>
        <c:axId val="152583551"/>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525816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PB_8!$A$2</c:f>
              <c:strCache>
                <c:ptCount val="1"/>
                <c:pt idx="0">
                  <c:v>Arab Region</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PB_8!$B$1:$C$1</c:f>
              <c:strCache>
                <c:ptCount val="2"/>
                <c:pt idx="0">
                  <c:v>Share of firms with female top managers</c:v>
                </c:pt>
                <c:pt idx="1">
                  <c:v>Share of firms with female participation in ownership</c:v>
                </c:pt>
              </c:strCache>
            </c:strRef>
          </c:cat>
          <c:val>
            <c:numRef>
              <c:f>PB_8!$B$2:$C$2</c:f>
              <c:numCache>
                <c:formatCode>0%</c:formatCode>
                <c:ptCount val="2"/>
                <c:pt idx="0">
                  <c:v>0.04</c:v>
                </c:pt>
                <c:pt idx="1">
                  <c:v>0.14000000000000001</c:v>
                </c:pt>
              </c:numCache>
            </c:numRef>
          </c:val>
          <c:extLst>
            <c:ext xmlns:c16="http://schemas.microsoft.com/office/drawing/2014/chart" uri="{C3380CC4-5D6E-409C-BE32-E72D297353CC}">
              <c16:uniqueId val="{00000000-8E4E-4F2D-8DE1-3A42A5A6CD99}"/>
            </c:ext>
          </c:extLst>
        </c:ser>
        <c:ser>
          <c:idx val="1"/>
          <c:order val="1"/>
          <c:tx>
            <c:strRef>
              <c:f>PB_8!$A$3</c:f>
              <c:strCache>
                <c:ptCount val="1"/>
                <c:pt idx="0">
                  <c:v>South Asia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PB_8!$B$1:$C$1</c:f>
              <c:strCache>
                <c:ptCount val="2"/>
                <c:pt idx="0">
                  <c:v>Share of firms with female top managers</c:v>
                </c:pt>
                <c:pt idx="1">
                  <c:v>Share of firms with female participation in ownership</c:v>
                </c:pt>
              </c:strCache>
            </c:strRef>
          </c:cat>
          <c:val>
            <c:numRef>
              <c:f>PB_8!$B$3:$C$3</c:f>
              <c:numCache>
                <c:formatCode>0%</c:formatCode>
                <c:ptCount val="2"/>
                <c:pt idx="0">
                  <c:v>0.09</c:v>
                </c:pt>
                <c:pt idx="1">
                  <c:v>0.13</c:v>
                </c:pt>
              </c:numCache>
            </c:numRef>
          </c:val>
          <c:extLst>
            <c:ext xmlns:c16="http://schemas.microsoft.com/office/drawing/2014/chart" uri="{C3380CC4-5D6E-409C-BE32-E72D297353CC}">
              <c16:uniqueId val="{00000001-8E4E-4F2D-8DE1-3A42A5A6CD99}"/>
            </c:ext>
          </c:extLst>
        </c:ser>
        <c:ser>
          <c:idx val="2"/>
          <c:order val="2"/>
          <c:tx>
            <c:strRef>
              <c:f>PB_8!$A$4</c:f>
              <c:strCache>
                <c:ptCount val="1"/>
                <c:pt idx="0">
                  <c:v>World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PB_8!$B$1:$C$1</c:f>
              <c:strCache>
                <c:ptCount val="2"/>
                <c:pt idx="0">
                  <c:v>Share of firms with female top managers</c:v>
                </c:pt>
                <c:pt idx="1">
                  <c:v>Share of firms with female participation in ownership</c:v>
                </c:pt>
              </c:strCache>
            </c:strRef>
          </c:cat>
          <c:val>
            <c:numRef>
              <c:f>PB_8!$B$4:$C$4</c:f>
              <c:numCache>
                <c:formatCode>0%</c:formatCode>
                <c:ptCount val="2"/>
                <c:pt idx="0">
                  <c:v>0.15</c:v>
                </c:pt>
                <c:pt idx="1">
                  <c:v>0.34</c:v>
                </c:pt>
              </c:numCache>
            </c:numRef>
          </c:val>
          <c:extLst>
            <c:ext xmlns:c16="http://schemas.microsoft.com/office/drawing/2014/chart" uri="{C3380CC4-5D6E-409C-BE32-E72D297353CC}">
              <c16:uniqueId val="{00000002-8E4E-4F2D-8DE1-3A42A5A6CD99}"/>
            </c:ext>
          </c:extLst>
        </c:ser>
        <c:ser>
          <c:idx val="3"/>
          <c:order val="3"/>
          <c:tx>
            <c:strRef>
              <c:f>PB_8!$A$5</c:f>
              <c:strCache>
                <c:ptCount val="1"/>
                <c:pt idx="0">
                  <c:v>Sub-Saharan Africa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PB_8!$B$1:$C$1</c:f>
              <c:strCache>
                <c:ptCount val="2"/>
                <c:pt idx="0">
                  <c:v>Share of firms with female top managers</c:v>
                </c:pt>
                <c:pt idx="1">
                  <c:v>Share of firms with female participation in ownership</c:v>
                </c:pt>
              </c:strCache>
            </c:strRef>
          </c:cat>
          <c:val>
            <c:numRef>
              <c:f>PB_8!$B$5:$C$5</c:f>
              <c:numCache>
                <c:formatCode>0%</c:formatCode>
                <c:ptCount val="2"/>
                <c:pt idx="0">
                  <c:v>0.17</c:v>
                </c:pt>
                <c:pt idx="1">
                  <c:v>0.3</c:v>
                </c:pt>
              </c:numCache>
            </c:numRef>
          </c:val>
          <c:extLst>
            <c:ext xmlns:c16="http://schemas.microsoft.com/office/drawing/2014/chart" uri="{C3380CC4-5D6E-409C-BE32-E72D297353CC}">
              <c16:uniqueId val="{00000003-8E4E-4F2D-8DE1-3A42A5A6CD99}"/>
            </c:ext>
          </c:extLst>
        </c:ser>
        <c:ser>
          <c:idx val="4"/>
          <c:order val="4"/>
          <c:tx>
            <c:strRef>
              <c:f>PB_8!$A$6</c:f>
              <c:strCache>
                <c:ptCount val="1"/>
                <c:pt idx="0">
                  <c:v>Europe and Central Asia</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PB_8!$B$1:$C$1</c:f>
              <c:strCache>
                <c:ptCount val="2"/>
                <c:pt idx="0">
                  <c:v>Share of firms with female top managers</c:v>
                </c:pt>
                <c:pt idx="1">
                  <c:v>Share of firms with female participation in ownership</c:v>
                </c:pt>
              </c:strCache>
            </c:strRef>
          </c:cat>
          <c:val>
            <c:numRef>
              <c:f>PB_8!$B$6:$C$6</c:f>
              <c:numCache>
                <c:formatCode>0%</c:formatCode>
                <c:ptCount val="2"/>
                <c:pt idx="0">
                  <c:v>0.17</c:v>
                </c:pt>
                <c:pt idx="1">
                  <c:v>0.34</c:v>
                </c:pt>
              </c:numCache>
            </c:numRef>
          </c:val>
          <c:extLst>
            <c:ext xmlns:c16="http://schemas.microsoft.com/office/drawing/2014/chart" uri="{C3380CC4-5D6E-409C-BE32-E72D297353CC}">
              <c16:uniqueId val="{00000004-8E4E-4F2D-8DE1-3A42A5A6CD99}"/>
            </c:ext>
          </c:extLst>
        </c:ser>
        <c:ser>
          <c:idx val="5"/>
          <c:order val="5"/>
          <c:tx>
            <c:strRef>
              <c:f>PB_8!$A$7</c:f>
              <c:strCache>
                <c:ptCount val="1"/>
                <c:pt idx="0">
                  <c:v>Latin America and Caribbean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PB_8!$B$1:$C$1</c:f>
              <c:strCache>
                <c:ptCount val="2"/>
                <c:pt idx="0">
                  <c:v>Share of firms with female top managers</c:v>
                </c:pt>
                <c:pt idx="1">
                  <c:v>Share of firms with female participation in ownership</c:v>
                </c:pt>
              </c:strCache>
            </c:strRef>
          </c:cat>
          <c:val>
            <c:numRef>
              <c:f>PB_8!$B$7:$C$7</c:f>
              <c:numCache>
                <c:formatCode>0%</c:formatCode>
                <c:ptCount val="2"/>
                <c:pt idx="0">
                  <c:v>0.2</c:v>
                </c:pt>
                <c:pt idx="1">
                  <c:v>0.47</c:v>
                </c:pt>
              </c:numCache>
            </c:numRef>
          </c:val>
          <c:extLst>
            <c:ext xmlns:c16="http://schemas.microsoft.com/office/drawing/2014/chart" uri="{C3380CC4-5D6E-409C-BE32-E72D297353CC}">
              <c16:uniqueId val="{00000005-8E4E-4F2D-8DE1-3A42A5A6CD99}"/>
            </c:ext>
          </c:extLst>
        </c:ser>
        <c:dLbls>
          <c:dLblPos val="outEnd"/>
          <c:showLegendKey val="0"/>
          <c:showVal val="1"/>
          <c:showCatName val="0"/>
          <c:showSerName val="0"/>
          <c:showPercent val="0"/>
          <c:showBubbleSize val="0"/>
        </c:dLbls>
        <c:gapWidth val="182"/>
        <c:axId val="97017616"/>
        <c:axId val="97026736"/>
      </c:barChart>
      <c:catAx>
        <c:axId val="970176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26736"/>
        <c:crosses val="autoZero"/>
        <c:auto val="1"/>
        <c:lblAlgn val="ctr"/>
        <c:lblOffset val="100"/>
        <c:noMultiLvlLbl val="0"/>
      </c:catAx>
      <c:valAx>
        <c:axId val="97026736"/>
        <c:scaling>
          <c:orientation val="minMax"/>
        </c:scaling>
        <c:delete val="1"/>
        <c:axPos val="b"/>
        <c:numFmt formatCode="0%" sourceLinked="1"/>
        <c:majorTickMark val="none"/>
        <c:minorTickMark val="none"/>
        <c:tickLblPos val="nextTo"/>
        <c:crossAx val="97017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kern="1200" spc="0" baseline="0">
                <a:solidFill>
                  <a:sysClr val="windowText" lastClr="000000">
                    <a:lumMod val="65000"/>
                    <a:lumOff val="35000"/>
                  </a:sysClr>
                </a:solidFill>
              </a:rPr>
              <a:t>Length of paid maternity leave in days</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C000"/>
              </a:solidFill>
              <a:ln>
                <a:noFill/>
              </a:ln>
              <a:effectLst/>
            </c:spPr>
            <c:extLst>
              <c:ext xmlns:c16="http://schemas.microsoft.com/office/drawing/2014/chart" uri="{C3380CC4-5D6E-409C-BE32-E72D297353CC}">
                <c16:uniqueId val="{00000001-EF71-425A-8271-A526B46022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PB_9!$A$1:$A$2</c:f>
              <c:strCache>
                <c:ptCount val="2"/>
                <c:pt idx="0">
                  <c:v>Regional average</c:v>
                </c:pt>
                <c:pt idx="1">
                  <c:v>ILO Standard (14 weeks)</c:v>
                </c:pt>
              </c:strCache>
            </c:strRef>
          </c:cat>
          <c:val>
            <c:numRef>
              <c:f>PB_9!$B$1:$B$2</c:f>
              <c:numCache>
                <c:formatCode>General</c:formatCode>
                <c:ptCount val="2"/>
                <c:pt idx="0">
                  <c:v>84</c:v>
                </c:pt>
                <c:pt idx="1">
                  <c:v>98</c:v>
                </c:pt>
              </c:numCache>
            </c:numRef>
          </c:val>
          <c:extLst>
            <c:ext xmlns:c16="http://schemas.microsoft.com/office/drawing/2014/chart" uri="{C3380CC4-5D6E-409C-BE32-E72D297353CC}">
              <c16:uniqueId val="{00000000-EF71-425A-8271-A526B4602252}"/>
            </c:ext>
          </c:extLst>
        </c:ser>
        <c:dLbls>
          <c:dLblPos val="outEnd"/>
          <c:showLegendKey val="0"/>
          <c:showVal val="1"/>
          <c:showCatName val="0"/>
          <c:showSerName val="0"/>
          <c:showPercent val="0"/>
          <c:showBubbleSize val="0"/>
        </c:dLbls>
        <c:gapWidth val="40"/>
        <c:overlap val="100"/>
        <c:axId val="1493252095"/>
        <c:axId val="1493242495"/>
      </c:barChart>
      <c:catAx>
        <c:axId val="1493252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493242495"/>
        <c:crosses val="autoZero"/>
        <c:auto val="1"/>
        <c:lblAlgn val="ctr"/>
        <c:lblOffset val="100"/>
        <c:noMultiLvlLbl val="0"/>
      </c:catAx>
      <c:valAx>
        <c:axId val="1493242495"/>
        <c:scaling>
          <c:orientation val="minMax"/>
        </c:scaling>
        <c:delete val="1"/>
        <c:axPos val="l"/>
        <c:numFmt formatCode="General" sourceLinked="1"/>
        <c:majorTickMark val="none"/>
        <c:minorTickMark val="none"/>
        <c:tickLblPos val="nextTo"/>
        <c:crossAx val="14932520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Ratio of women's to men's labour income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PB_10!$A$2</c:f>
              <c:strCache>
                <c:ptCount val="1"/>
                <c:pt idx="0">
                  <c:v>2024</c:v>
                </c:pt>
              </c:strCache>
            </c:strRef>
          </c:tx>
          <c:spPr>
            <a:solidFill>
              <a:schemeClr val="accent1"/>
            </a:solidFill>
            <a:ln>
              <a:noFill/>
            </a:ln>
            <a:effectLst/>
          </c:spPr>
          <c:invertIfNegative val="0"/>
          <c:dPt>
            <c:idx val="0"/>
            <c:invertIfNegative val="0"/>
            <c:bubble3D val="0"/>
            <c:spPr>
              <a:solidFill>
                <a:srgbClr val="FFC000"/>
              </a:solidFill>
              <a:ln>
                <a:noFill/>
              </a:ln>
              <a:effectLst/>
            </c:spPr>
            <c:extLst>
              <c:ext xmlns:c16="http://schemas.microsoft.com/office/drawing/2014/chart" uri="{C3380CC4-5D6E-409C-BE32-E72D297353CC}">
                <c16:uniqueId val="{00000003-C6BE-4FF6-8DF3-9A2DE06EDF36}"/>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2-C6BE-4FF6-8DF3-9A2DE06EDF3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PB_10!$B$1:$C$1</c:f>
              <c:strCache>
                <c:ptCount val="2"/>
                <c:pt idx="0">
                  <c:v>Arab Region</c:v>
                </c:pt>
                <c:pt idx="1">
                  <c:v>World</c:v>
                </c:pt>
              </c:strCache>
            </c:strRef>
          </c:cat>
          <c:val>
            <c:numRef>
              <c:f>PB_10!$B$2:$C$2</c:f>
              <c:numCache>
                <c:formatCode>#0"%"</c:formatCode>
                <c:ptCount val="2"/>
                <c:pt idx="0">
                  <c:v>14.517999649047852</c:v>
                </c:pt>
                <c:pt idx="1">
                  <c:v>51.834999084472656</c:v>
                </c:pt>
              </c:numCache>
            </c:numRef>
          </c:val>
          <c:extLst>
            <c:ext xmlns:c16="http://schemas.microsoft.com/office/drawing/2014/chart" uri="{C3380CC4-5D6E-409C-BE32-E72D297353CC}">
              <c16:uniqueId val="{00000000-C6BE-4FF6-8DF3-9A2DE06EDF36}"/>
            </c:ext>
          </c:extLst>
        </c:ser>
        <c:dLbls>
          <c:dLblPos val="outEnd"/>
          <c:showLegendKey val="0"/>
          <c:showVal val="1"/>
          <c:showCatName val="0"/>
          <c:showSerName val="0"/>
          <c:showPercent val="0"/>
          <c:showBubbleSize val="0"/>
        </c:dLbls>
        <c:gapWidth val="182"/>
        <c:axId val="816561552"/>
        <c:axId val="816542832"/>
      </c:barChart>
      <c:catAx>
        <c:axId val="816561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542832"/>
        <c:crosses val="autoZero"/>
        <c:auto val="1"/>
        <c:lblAlgn val="ctr"/>
        <c:lblOffset val="100"/>
        <c:noMultiLvlLbl val="0"/>
      </c:catAx>
      <c:valAx>
        <c:axId val="816542832"/>
        <c:scaling>
          <c:orientation val="minMax"/>
        </c:scaling>
        <c:delete val="1"/>
        <c:axPos val="b"/>
        <c:numFmt formatCode="#0&quot;%&quot;" sourceLinked="1"/>
        <c:majorTickMark val="none"/>
        <c:minorTickMark val="none"/>
        <c:tickLblPos val="nextTo"/>
        <c:crossAx val="816561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lang="en-US" sz="900" b="0" i="0" u="none" strike="noStrike" kern="1200" spc="0" baseline="0">
                <a:solidFill>
                  <a:sysClr val="windowText" lastClr="000000">
                    <a:lumMod val="65000"/>
                    <a:lumOff val="35000"/>
                  </a:sysClr>
                </a:solidFill>
                <a:latin typeface="+mn-lt"/>
                <a:ea typeface="+mn-ea"/>
                <a:cs typeface="+mn-cs"/>
              </a:defRPr>
            </a:pPr>
            <a:r>
              <a:rPr lang="en-US" sz="900" b="0" i="0" u="none" strike="noStrike" kern="1200" spc="0" baseline="0">
                <a:solidFill>
                  <a:sysClr val="windowText" lastClr="000000">
                    <a:lumMod val="65000"/>
                    <a:lumOff val="35000"/>
                  </a:sysClr>
                </a:solidFill>
                <a:latin typeface="+mn-lt"/>
                <a:ea typeface="+mn-ea"/>
                <a:cs typeface="+mn-cs"/>
              </a:rPr>
              <a:t>Unemployment</a:t>
            </a:r>
          </a:p>
        </c:rich>
      </c:tx>
      <c:overlay val="0"/>
    </c:title>
    <c:autoTitleDeleted val="0"/>
    <c:plotArea>
      <c:layout>
        <c:manualLayout>
          <c:layoutTarget val="inner"/>
          <c:xMode val="edge"/>
          <c:yMode val="edge"/>
          <c:x val="9.5776963511279845E-2"/>
          <c:y val="3.7146645298140489E-3"/>
          <c:w val="0.81928650112528301"/>
          <c:h val="0.97040987236008702"/>
        </c:manualLayout>
      </c:layout>
      <c:lineChart>
        <c:grouping val="standard"/>
        <c:varyColors val="0"/>
        <c:ser>
          <c:idx val="0"/>
          <c:order val="0"/>
          <c:tx>
            <c:v>Female</c:v>
          </c:tx>
          <c:spPr>
            <a:ln w="19050">
              <a:noFill/>
            </a:ln>
          </c:spPr>
          <c:marker>
            <c:symbol val="circle"/>
            <c:size val="6"/>
            <c:spPr>
              <a:solidFill>
                <a:schemeClr val="accent2"/>
              </a:solidFill>
              <a:ln w="9525">
                <a:noFill/>
              </a:ln>
              <a:effectLst/>
            </c:spPr>
          </c:marker>
          <c:dPt>
            <c:idx val="0"/>
            <c:marker>
              <c:spPr>
                <a:solidFill>
                  <a:srgbClr val="0070C0"/>
                </a:solidFill>
                <a:ln w="9525">
                  <a:noFill/>
                </a:ln>
                <a:effectLst/>
              </c:spPr>
            </c:marker>
            <c:bubble3D val="0"/>
            <c:extLst>
              <c:ext xmlns:c16="http://schemas.microsoft.com/office/drawing/2014/chart" uri="{C3380CC4-5D6E-409C-BE32-E72D297353CC}">
                <c16:uniqueId val="{00000000-395D-4047-A779-B54200B4AB37}"/>
              </c:ext>
            </c:extLst>
          </c:dPt>
          <c:dPt>
            <c:idx val="2"/>
            <c:marker>
              <c:spPr>
                <a:solidFill>
                  <a:srgbClr val="A6A6A6"/>
                </a:solidFill>
                <a:ln w="9525">
                  <a:noFill/>
                </a:ln>
                <a:effectLst/>
              </c:spPr>
            </c:marker>
            <c:bubble3D val="0"/>
            <c:extLst>
              <c:ext xmlns:c16="http://schemas.microsoft.com/office/drawing/2014/chart" uri="{C3380CC4-5D6E-409C-BE32-E72D297353CC}">
                <c16:uniqueId val="{00000001-395D-4047-A779-B54200B4AB37}"/>
              </c:ext>
            </c:extLst>
          </c:dPt>
          <c:dPt>
            <c:idx val="3"/>
            <c:marker>
              <c:spPr>
                <a:solidFill>
                  <a:srgbClr val="FFFF66"/>
                </a:solidFill>
                <a:ln w="9525">
                  <a:noFill/>
                </a:ln>
                <a:effectLst/>
              </c:spPr>
            </c:marker>
            <c:bubble3D val="0"/>
            <c:extLst>
              <c:ext xmlns:c16="http://schemas.microsoft.com/office/drawing/2014/chart" uri="{C3380CC4-5D6E-409C-BE32-E72D297353CC}">
                <c16:uniqueId val="{00000002-395D-4047-A779-B54200B4AB37}"/>
              </c:ext>
            </c:extLst>
          </c:dPt>
          <c:dPt>
            <c:idx val="4"/>
            <c:marker>
              <c:spPr>
                <a:solidFill>
                  <a:srgbClr val="4E95D9"/>
                </a:solidFill>
                <a:ln w="9525">
                  <a:noFill/>
                </a:ln>
                <a:effectLst/>
              </c:spPr>
            </c:marker>
            <c:bubble3D val="0"/>
            <c:extLst>
              <c:ext xmlns:c16="http://schemas.microsoft.com/office/drawing/2014/chart" uri="{C3380CC4-5D6E-409C-BE32-E72D297353CC}">
                <c16:uniqueId val="{00000003-395D-4047-A779-B54200B4AB37}"/>
              </c:ext>
            </c:extLst>
          </c:dPt>
          <c:dPt>
            <c:idx val="5"/>
            <c:marker>
              <c:spPr>
                <a:solidFill>
                  <a:srgbClr val="92D050"/>
                </a:solidFill>
                <a:ln w="9525">
                  <a:noFill/>
                </a:ln>
                <a:effectLst/>
              </c:spPr>
            </c:marker>
            <c:bubble3D val="0"/>
            <c:extLst>
              <c:ext xmlns:c16="http://schemas.microsoft.com/office/drawing/2014/chart" uri="{C3380CC4-5D6E-409C-BE32-E72D297353CC}">
                <c16:uniqueId val="{00000004-395D-4047-A779-B54200B4AB37}"/>
              </c:ext>
            </c:extLst>
          </c:dPt>
          <c:dLbls>
            <c:dLbl>
              <c:idx val="2"/>
              <c:layout>
                <c:manualLayout>
                  <c:x val="2.7995932174461908E-3"/>
                  <c:y val="1.76910135619066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5D-4047-A779-B54200B4AB3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'Section I_Fig3'!$A$3:$A$8</c:f>
              <c:strCache>
                <c:ptCount val="6"/>
                <c:pt idx="0">
                  <c:v>Latin America and Caribbean</c:v>
                </c:pt>
                <c:pt idx="1">
                  <c:v>Europe and Central Asia</c:v>
                </c:pt>
                <c:pt idx="2">
                  <c:v>East Asia and Pacific</c:v>
                </c:pt>
                <c:pt idx="3">
                  <c:v>Sub-Saharan Africa</c:v>
                </c:pt>
                <c:pt idx="4">
                  <c:v>South Asia</c:v>
                </c:pt>
                <c:pt idx="5">
                  <c:v>Arab Region</c:v>
                </c:pt>
              </c:strCache>
            </c:strRef>
          </c:cat>
          <c:val>
            <c:numRef>
              <c:f>'Section I_Fig3'!$F$3:$F$8</c:f>
              <c:numCache>
                <c:formatCode>#0"%"</c:formatCode>
                <c:ptCount val="6"/>
                <c:pt idx="0">
                  <c:v>7.5156705319858297</c:v>
                </c:pt>
                <c:pt idx="1">
                  <c:v>5.840126638404679</c:v>
                </c:pt>
                <c:pt idx="2">
                  <c:v>3.484029264440677</c:v>
                </c:pt>
                <c:pt idx="3">
                  <c:v>6.8052467186454733</c:v>
                </c:pt>
                <c:pt idx="4">
                  <c:v>5.0085065361368208</c:v>
                </c:pt>
                <c:pt idx="5">
                  <c:v>19.5</c:v>
                </c:pt>
              </c:numCache>
            </c:numRef>
          </c:val>
          <c:smooth val="0"/>
          <c:extLst>
            <c:ext xmlns:c16="http://schemas.microsoft.com/office/drawing/2014/chart" uri="{C3380CC4-5D6E-409C-BE32-E72D297353CC}">
              <c16:uniqueId val="{00000005-395D-4047-A779-B54200B4AB37}"/>
            </c:ext>
          </c:extLst>
        </c:ser>
        <c:ser>
          <c:idx val="1"/>
          <c:order val="1"/>
          <c:tx>
            <c:v>Male</c:v>
          </c:tx>
          <c:spPr>
            <a:ln w="19050">
              <a:noFill/>
            </a:ln>
          </c:spPr>
          <c:marker>
            <c:symbol val="diamond"/>
            <c:size val="7"/>
            <c:spPr>
              <a:ln>
                <a:noFill/>
              </a:ln>
            </c:spPr>
          </c:marker>
          <c:dPt>
            <c:idx val="0"/>
            <c:marker>
              <c:spPr>
                <a:solidFill>
                  <a:srgbClr val="0070C0"/>
                </a:solidFill>
                <a:ln>
                  <a:noFill/>
                </a:ln>
              </c:spPr>
            </c:marker>
            <c:bubble3D val="0"/>
            <c:extLst>
              <c:ext xmlns:c16="http://schemas.microsoft.com/office/drawing/2014/chart" uri="{C3380CC4-5D6E-409C-BE32-E72D297353CC}">
                <c16:uniqueId val="{00000006-395D-4047-A779-B54200B4AB37}"/>
              </c:ext>
            </c:extLst>
          </c:dPt>
          <c:dPt>
            <c:idx val="2"/>
            <c:marker>
              <c:spPr>
                <a:solidFill>
                  <a:srgbClr val="A6A6A6"/>
                </a:solidFill>
                <a:ln>
                  <a:noFill/>
                </a:ln>
              </c:spPr>
            </c:marker>
            <c:bubble3D val="0"/>
            <c:extLst>
              <c:ext xmlns:c16="http://schemas.microsoft.com/office/drawing/2014/chart" uri="{C3380CC4-5D6E-409C-BE32-E72D297353CC}">
                <c16:uniqueId val="{00000007-395D-4047-A779-B54200B4AB37}"/>
              </c:ext>
            </c:extLst>
          </c:dPt>
          <c:dPt>
            <c:idx val="3"/>
            <c:marker>
              <c:spPr>
                <a:solidFill>
                  <a:srgbClr val="FFFF66"/>
                </a:solidFill>
                <a:ln>
                  <a:noFill/>
                </a:ln>
              </c:spPr>
            </c:marker>
            <c:bubble3D val="0"/>
            <c:extLst>
              <c:ext xmlns:c16="http://schemas.microsoft.com/office/drawing/2014/chart" uri="{C3380CC4-5D6E-409C-BE32-E72D297353CC}">
                <c16:uniqueId val="{00000008-395D-4047-A779-B54200B4AB37}"/>
              </c:ext>
            </c:extLst>
          </c:dPt>
          <c:dPt>
            <c:idx val="4"/>
            <c:marker>
              <c:spPr>
                <a:solidFill>
                  <a:srgbClr val="4E95D9"/>
                </a:solidFill>
                <a:ln>
                  <a:noFill/>
                </a:ln>
              </c:spPr>
            </c:marker>
            <c:bubble3D val="0"/>
            <c:extLst>
              <c:ext xmlns:c16="http://schemas.microsoft.com/office/drawing/2014/chart" uri="{C3380CC4-5D6E-409C-BE32-E72D297353CC}">
                <c16:uniqueId val="{00000009-395D-4047-A779-B54200B4AB37}"/>
              </c:ext>
            </c:extLst>
          </c:dPt>
          <c:dPt>
            <c:idx val="5"/>
            <c:marker>
              <c:spPr>
                <a:solidFill>
                  <a:srgbClr val="92D050"/>
                </a:solidFill>
                <a:ln>
                  <a:noFill/>
                </a:ln>
              </c:spPr>
            </c:marker>
            <c:bubble3D val="0"/>
            <c:extLst>
              <c:ext xmlns:c16="http://schemas.microsoft.com/office/drawing/2014/chart" uri="{C3380CC4-5D6E-409C-BE32-E72D297353CC}">
                <c16:uniqueId val="{0000000A-395D-4047-A779-B54200B4AB37}"/>
              </c:ext>
            </c:extLst>
          </c:dPt>
          <c:dLbls>
            <c:dLbl>
              <c:idx val="2"/>
              <c:layout>
                <c:manualLayout>
                  <c:x val="-0.1025703631885494"/>
                  <c:y val="-3.17714739692043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95D-4047-A779-B54200B4AB37}"/>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'Section I_Fig3'!$A$3:$A$8</c:f>
              <c:strCache>
                <c:ptCount val="6"/>
                <c:pt idx="0">
                  <c:v>Latin America and Caribbean</c:v>
                </c:pt>
                <c:pt idx="1">
                  <c:v>Europe and Central Asia</c:v>
                </c:pt>
                <c:pt idx="2">
                  <c:v>East Asia and Pacific</c:v>
                </c:pt>
                <c:pt idx="3">
                  <c:v>Sub-Saharan Africa</c:v>
                </c:pt>
                <c:pt idx="4">
                  <c:v>South Asia</c:v>
                </c:pt>
                <c:pt idx="5">
                  <c:v>Arab Region</c:v>
                </c:pt>
              </c:strCache>
            </c:strRef>
          </c:cat>
          <c:val>
            <c:numRef>
              <c:f>'Section I_Fig3'!$G$3:$G$8</c:f>
              <c:numCache>
                <c:formatCode>#0"%"</c:formatCode>
                <c:ptCount val="6"/>
                <c:pt idx="0">
                  <c:v>5.2880506642995</c:v>
                </c:pt>
                <c:pt idx="1">
                  <c:v>5.4015998059486527</c:v>
                </c:pt>
                <c:pt idx="2">
                  <c:v>4.2047695594741272</c:v>
                </c:pt>
                <c:pt idx="3">
                  <c:v>5.2520682396983309</c:v>
                </c:pt>
                <c:pt idx="4">
                  <c:v>4.4571908286704476</c:v>
                </c:pt>
                <c:pt idx="5">
                  <c:v>8.6</c:v>
                </c:pt>
              </c:numCache>
            </c:numRef>
          </c:val>
          <c:smooth val="0"/>
          <c:extLst>
            <c:ext xmlns:c16="http://schemas.microsoft.com/office/drawing/2014/chart" uri="{C3380CC4-5D6E-409C-BE32-E72D297353CC}">
              <c16:uniqueId val="{0000000B-395D-4047-A779-B54200B4AB37}"/>
            </c:ext>
          </c:extLst>
        </c:ser>
        <c:dLbls>
          <c:dLblPos val="t"/>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300372720"/>
        <c:axId val="300373280"/>
      </c:lineChart>
      <c:catAx>
        <c:axId val="300372720"/>
        <c:scaling>
          <c:orientation val="minMax"/>
        </c:scaling>
        <c:delete val="1"/>
        <c:axPos val="b"/>
        <c:numFmt formatCode="General" sourceLinked="1"/>
        <c:majorTickMark val="none"/>
        <c:minorTickMark val="none"/>
        <c:tickLblPos val="nextTo"/>
        <c:crossAx val="300373280"/>
        <c:crosses val="autoZero"/>
        <c:auto val="1"/>
        <c:lblAlgn val="ctr"/>
        <c:lblOffset val="100"/>
        <c:noMultiLvlLbl val="0"/>
      </c:catAx>
      <c:valAx>
        <c:axId val="300373280"/>
        <c:scaling>
          <c:orientation val="minMax"/>
          <c:max val="22"/>
          <c:min val="0"/>
        </c:scaling>
        <c:delete val="1"/>
        <c:axPos val="l"/>
        <c:numFmt formatCode="#,##0" sourceLinked="0"/>
        <c:majorTickMark val="out"/>
        <c:minorTickMark val="none"/>
        <c:tickLblPos val="nextTo"/>
        <c:crossAx val="300372720"/>
        <c:crosses val="autoZero"/>
        <c:crossBetween val="between"/>
        <c:majorUnit val="10"/>
      </c:valAx>
      <c:spPr>
        <a:noFill/>
        <a:ln>
          <a:noFill/>
        </a:ln>
        <a:effectLst/>
      </c:spPr>
    </c:plotArea>
    <c:legend>
      <c:legendPos val="b"/>
      <c:layout>
        <c:manualLayout>
          <c:xMode val="edge"/>
          <c:yMode val="edge"/>
          <c:x val="0.23916680692288908"/>
          <c:y val="0.92725264400636442"/>
          <c:w val="0.52166591204868118"/>
          <c:h val="7.2747355993635437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E8E8E8"/>
      </a:solidFill>
      <a:round/>
    </a:ln>
    <a:effectLst/>
  </c:spPr>
  <c:txPr>
    <a:bodyPr/>
    <a:lstStyle/>
    <a:p>
      <a:pPr>
        <a:defRPr>
          <a:solidFill>
            <a:schemeClr val="tx1">
              <a:lumMod val="95000"/>
              <a:lumOff val="5000"/>
            </a:schemeClr>
          </a:solidFill>
        </a:defRPr>
      </a:pPr>
      <a:endParaRPr lang="en-US"/>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Labor force participation rates of women and men with advanced education, latest year (%)</a:t>
            </a:r>
            <a:endParaRPr lang="en-US"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Labour force of female workers with advanced education</c:v>
          </c:tx>
          <c:spPr>
            <a:solidFill>
              <a:srgbClr val="FFC000"/>
            </a:solidFill>
            <a:ln>
              <a:noFill/>
            </a:ln>
            <a:effectLst/>
          </c:spPr>
          <c:invertIfNegative val="0"/>
          <c:cat>
            <c:strRef>
              <c:f>'Section I_Fig4'!$A$3:$A$23</c:f>
              <c:strCache>
                <c:ptCount val="21"/>
                <c:pt idx="0">
                  <c:v>Algeria, 2017</c:v>
                </c:pt>
                <c:pt idx="1">
                  <c:v>Comoros, 2021</c:v>
                </c:pt>
                <c:pt idx="2">
                  <c:v>Djibouti, 2017</c:v>
                </c:pt>
                <c:pt idx="3">
                  <c:v>Egypt, 2022</c:v>
                </c:pt>
                <c:pt idx="4">
                  <c:v>Iraq, 2021</c:v>
                </c:pt>
                <c:pt idx="5">
                  <c:v>Jordan, 2022</c:v>
                </c:pt>
                <c:pt idx="6">
                  <c:v>Kuwait, 2016</c:v>
                </c:pt>
                <c:pt idx="7">
                  <c:v>Lebanon, 2019</c:v>
                </c:pt>
                <c:pt idx="8">
                  <c:v>Morocco, 2022</c:v>
                </c:pt>
                <c:pt idx="9">
                  <c:v>Mauritania, 2019</c:v>
                </c:pt>
                <c:pt idx="10">
                  <c:v>Oman, 2021</c:v>
                </c:pt>
                <c:pt idx="11">
                  <c:v>Qatar, 2021</c:v>
                </c:pt>
                <c:pt idx="12">
                  <c:v>Saudi Arabia, 2023</c:v>
                </c:pt>
                <c:pt idx="13">
                  <c:v>Somalia, 2019</c:v>
                </c:pt>
                <c:pt idx="14">
                  <c:v>Sudan, 2022</c:v>
                </c:pt>
                <c:pt idx="15">
                  <c:v>Tunisia, 2023</c:v>
                </c:pt>
                <c:pt idx="16">
                  <c:v>United Arab Emirates, 2023</c:v>
                </c:pt>
                <c:pt idx="17">
                  <c:v>Yemen, 2014</c:v>
                </c:pt>
                <c:pt idx="18">
                  <c:v>Palestine, 2022</c:v>
                </c:pt>
                <c:pt idx="19">
                  <c:v>Arab average</c:v>
                </c:pt>
                <c:pt idx="20">
                  <c:v>OECD average</c:v>
                </c:pt>
              </c:strCache>
            </c:strRef>
          </c:cat>
          <c:val>
            <c:numRef>
              <c:f>'Section I_Fig4'!$B$3:$B$23</c:f>
              <c:numCache>
                <c:formatCode>#0"%"</c:formatCode>
                <c:ptCount val="21"/>
                <c:pt idx="0">
                  <c:v>42.22</c:v>
                </c:pt>
                <c:pt idx="1">
                  <c:v>70.165999999999997</c:v>
                </c:pt>
                <c:pt idx="2">
                  <c:v>57.27</c:v>
                </c:pt>
                <c:pt idx="3">
                  <c:v>44.262</c:v>
                </c:pt>
                <c:pt idx="4">
                  <c:v>62.63</c:v>
                </c:pt>
                <c:pt idx="5">
                  <c:v>49.265000000000001</c:v>
                </c:pt>
                <c:pt idx="6">
                  <c:v>60.85</c:v>
                </c:pt>
                <c:pt idx="7">
                  <c:v>51.634999999999998</c:v>
                </c:pt>
                <c:pt idx="8">
                  <c:v>60.14</c:v>
                </c:pt>
                <c:pt idx="9">
                  <c:v>50.777000000000001</c:v>
                </c:pt>
                <c:pt idx="10">
                  <c:v>60.7</c:v>
                </c:pt>
                <c:pt idx="11">
                  <c:v>69.47</c:v>
                </c:pt>
                <c:pt idx="12">
                  <c:v>53.363</c:v>
                </c:pt>
                <c:pt idx="13">
                  <c:v>39.817999999999998</c:v>
                </c:pt>
                <c:pt idx="14">
                  <c:v>24.827000000000002</c:v>
                </c:pt>
                <c:pt idx="15">
                  <c:v>74.31</c:v>
                </c:pt>
                <c:pt idx="16">
                  <c:v>59.18</c:v>
                </c:pt>
                <c:pt idx="17">
                  <c:v>62.447000000000003</c:v>
                </c:pt>
                <c:pt idx="18">
                  <c:v>61.639000000000003</c:v>
                </c:pt>
                <c:pt idx="19">
                  <c:v>55.52468421052631</c:v>
                </c:pt>
                <c:pt idx="20">
                  <c:v>75.269230769230774</c:v>
                </c:pt>
              </c:numCache>
            </c:numRef>
          </c:val>
          <c:extLst>
            <c:ext xmlns:c16="http://schemas.microsoft.com/office/drawing/2014/chart" uri="{C3380CC4-5D6E-409C-BE32-E72D297353CC}">
              <c16:uniqueId val="{00000000-4B08-428E-AD8E-00F24867A1BF}"/>
            </c:ext>
          </c:extLst>
        </c:ser>
        <c:ser>
          <c:idx val="1"/>
          <c:order val="1"/>
          <c:tx>
            <c:v>Labour force of male workers with advanced education</c:v>
          </c:tx>
          <c:spPr>
            <a:solidFill>
              <a:schemeClr val="tx2">
                <a:lumMod val="25000"/>
                <a:lumOff val="75000"/>
              </a:schemeClr>
            </a:solidFill>
            <a:ln>
              <a:noFill/>
            </a:ln>
            <a:effectLst/>
          </c:spPr>
          <c:invertIfNegative val="0"/>
          <c:cat>
            <c:strRef>
              <c:f>'Section I_Fig4'!$A$3:$A$23</c:f>
              <c:strCache>
                <c:ptCount val="21"/>
                <c:pt idx="0">
                  <c:v>Algeria, 2017</c:v>
                </c:pt>
                <c:pt idx="1">
                  <c:v>Comoros, 2021</c:v>
                </c:pt>
                <c:pt idx="2">
                  <c:v>Djibouti, 2017</c:v>
                </c:pt>
                <c:pt idx="3">
                  <c:v>Egypt, 2022</c:v>
                </c:pt>
                <c:pt idx="4">
                  <c:v>Iraq, 2021</c:v>
                </c:pt>
                <c:pt idx="5">
                  <c:v>Jordan, 2022</c:v>
                </c:pt>
                <c:pt idx="6">
                  <c:v>Kuwait, 2016</c:v>
                </c:pt>
                <c:pt idx="7">
                  <c:v>Lebanon, 2019</c:v>
                </c:pt>
                <c:pt idx="8">
                  <c:v>Morocco, 2022</c:v>
                </c:pt>
                <c:pt idx="9">
                  <c:v>Mauritania, 2019</c:v>
                </c:pt>
                <c:pt idx="10">
                  <c:v>Oman, 2021</c:v>
                </c:pt>
                <c:pt idx="11">
                  <c:v>Qatar, 2021</c:v>
                </c:pt>
                <c:pt idx="12">
                  <c:v>Saudi Arabia, 2023</c:v>
                </c:pt>
                <c:pt idx="13">
                  <c:v>Somalia, 2019</c:v>
                </c:pt>
                <c:pt idx="14">
                  <c:v>Sudan, 2022</c:v>
                </c:pt>
                <c:pt idx="15">
                  <c:v>Tunisia, 2023</c:v>
                </c:pt>
                <c:pt idx="16">
                  <c:v>United Arab Emirates, 2023</c:v>
                </c:pt>
                <c:pt idx="17">
                  <c:v>Yemen, 2014</c:v>
                </c:pt>
                <c:pt idx="18">
                  <c:v>Palestine, 2022</c:v>
                </c:pt>
                <c:pt idx="19">
                  <c:v>Arab average</c:v>
                </c:pt>
                <c:pt idx="20">
                  <c:v>OECD average</c:v>
                </c:pt>
              </c:strCache>
            </c:strRef>
          </c:cat>
          <c:val>
            <c:numRef>
              <c:f>'Section I_Fig4'!$C$3:$C$23</c:f>
              <c:numCache>
                <c:formatCode>#0"%"</c:formatCode>
                <c:ptCount val="21"/>
                <c:pt idx="0">
                  <c:v>61.22</c:v>
                </c:pt>
                <c:pt idx="1">
                  <c:v>84.837999999999994</c:v>
                </c:pt>
                <c:pt idx="2">
                  <c:v>77.47</c:v>
                </c:pt>
                <c:pt idx="3">
                  <c:v>81.784000000000006</c:v>
                </c:pt>
                <c:pt idx="4">
                  <c:v>82.61</c:v>
                </c:pt>
                <c:pt idx="5">
                  <c:v>70.66</c:v>
                </c:pt>
                <c:pt idx="6">
                  <c:v>88.26</c:v>
                </c:pt>
                <c:pt idx="7">
                  <c:v>71.316999999999993</c:v>
                </c:pt>
                <c:pt idx="8">
                  <c:v>75.2</c:v>
                </c:pt>
                <c:pt idx="9">
                  <c:v>78.162999999999997</c:v>
                </c:pt>
                <c:pt idx="10">
                  <c:v>91.94</c:v>
                </c:pt>
                <c:pt idx="11">
                  <c:v>97.64</c:v>
                </c:pt>
                <c:pt idx="12">
                  <c:v>93.626999999999995</c:v>
                </c:pt>
                <c:pt idx="13">
                  <c:v>72.381</c:v>
                </c:pt>
                <c:pt idx="14">
                  <c:v>51.713999999999999</c:v>
                </c:pt>
                <c:pt idx="15">
                  <c:v>84.822000000000003</c:v>
                </c:pt>
                <c:pt idx="16">
                  <c:v>94.784999999999997</c:v>
                </c:pt>
                <c:pt idx="17">
                  <c:v>90.751000000000005</c:v>
                </c:pt>
                <c:pt idx="18">
                  <c:v>85.725999999999999</c:v>
                </c:pt>
                <c:pt idx="19">
                  <c:v>80.784631578947383</c:v>
                </c:pt>
                <c:pt idx="20">
                  <c:v>82.428153846153833</c:v>
                </c:pt>
              </c:numCache>
            </c:numRef>
          </c:val>
          <c:extLst>
            <c:ext xmlns:c16="http://schemas.microsoft.com/office/drawing/2014/chart" uri="{C3380CC4-5D6E-409C-BE32-E72D297353CC}">
              <c16:uniqueId val="{00000001-4B08-428E-AD8E-00F24867A1BF}"/>
            </c:ext>
          </c:extLst>
        </c:ser>
        <c:dLbls>
          <c:showLegendKey val="0"/>
          <c:showVal val="0"/>
          <c:showCatName val="0"/>
          <c:showSerName val="0"/>
          <c:showPercent val="0"/>
          <c:showBubbleSize val="0"/>
        </c:dLbls>
        <c:gapWidth val="219"/>
        <c:overlap val="-27"/>
        <c:axId val="842180175"/>
        <c:axId val="842186415"/>
      </c:barChart>
      <c:scatterChart>
        <c:scatterStyle val="lineMarker"/>
        <c:varyColors val="0"/>
        <c:ser>
          <c:idx val="2"/>
          <c:order val="2"/>
          <c:tx>
            <c:v>Unemployment of female workers with advanced education</c:v>
          </c:tx>
          <c:spPr>
            <a:ln w="25400" cap="rnd">
              <a:noFill/>
              <a:round/>
            </a:ln>
            <a:effectLst/>
          </c:spPr>
          <c:marker>
            <c:symbol val="circle"/>
            <c:size val="5"/>
            <c:spPr>
              <a:solidFill>
                <a:schemeClr val="accent2"/>
              </a:solidFill>
              <a:ln w="9525">
                <a:solidFill>
                  <a:schemeClr val="accent3"/>
                </a:solidFill>
              </a:ln>
              <a:effectLst/>
            </c:spPr>
          </c:marker>
          <c:xVal>
            <c:strRef>
              <c:f>'Section I_Fig4'!$A$3:$A$23</c:f>
              <c:strCache>
                <c:ptCount val="21"/>
                <c:pt idx="0">
                  <c:v>Algeria, 2017</c:v>
                </c:pt>
                <c:pt idx="1">
                  <c:v>Comoros, 2021</c:v>
                </c:pt>
                <c:pt idx="2">
                  <c:v>Djibouti, 2017</c:v>
                </c:pt>
                <c:pt idx="3">
                  <c:v>Egypt, 2022</c:v>
                </c:pt>
                <c:pt idx="4">
                  <c:v>Iraq, 2021</c:v>
                </c:pt>
                <c:pt idx="5">
                  <c:v>Jordan, 2022</c:v>
                </c:pt>
                <c:pt idx="6">
                  <c:v>Kuwait, 2016</c:v>
                </c:pt>
                <c:pt idx="7">
                  <c:v>Lebanon, 2019</c:v>
                </c:pt>
                <c:pt idx="8">
                  <c:v>Morocco, 2022</c:v>
                </c:pt>
                <c:pt idx="9">
                  <c:v>Mauritania, 2019</c:v>
                </c:pt>
                <c:pt idx="10">
                  <c:v>Oman, 2021</c:v>
                </c:pt>
                <c:pt idx="11">
                  <c:v>Qatar, 2021</c:v>
                </c:pt>
                <c:pt idx="12">
                  <c:v>Saudi Arabia, 2023</c:v>
                </c:pt>
                <c:pt idx="13">
                  <c:v>Somalia, 2019</c:v>
                </c:pt>
                <c:pt idx="14">
                  <c:v>Sudan, 2022</c:v>
                </c:pt>
                <c:pt idx="15">
                  <c:v>Tunisia, 2023</c:v>
                </c:pt>
                <c:pt idx="16">
                  <c:v>United Arab Emirates, 2023</c:v>
                </c:pt>
                <c:pt idx="17">
                  <c:v>Yemen, 2014</c:v>
                </c:pt>
                <c:pt idx="18">
                  <c:v>Palestine, 2022</c:v>
                </c:pt>
                <c:pt idx="19">
                  <c:v>Arab average</c:v>
                </c:pt>
                <c:pt idx="20">
                  <c:v>OECD average</c:v>
                </c:pt>
              </c:strCache>
            </c:strRef>
          </c:xVal>
          <c:yVal>
            <c:numRef>
              <c:f>'Section I_Fig4'!$D$3:$D$23</c:f>
              <c:numCache>
                <c:formatCode>#0"%"</c:formatCode>
                <c:ptCount val="21"/>
                <c:pt idx="0">
                  <c:v>25.36</c:v>
                </c:pt>
                <c:pt idx="1">
                  <c:v>16.262</c:v>
                </c:pt>
                <c:pt idx="2">
                  <c:v>22.135000000000002</c:v>
                </c:pt>
                <c:pt idx="3">
                  <c:v>26.757999999999999</c:v>
                </c:pt>
                <c:pt idx="4">
                  <c:v>29.244</c:v>
                </c:pt>
                <c:pt idx="5">
                  <c:v>35.72</c:v>
                </c:pt>
                <c:pt idx="6">
                  <c:v>9.25</c:v>
                </c:pt>
                <c:pt idx="7">
                  <c:v>16.532</c:v>
                </c:pt>
                <c:pt idx="8">
                  <c:v>35.1</c:v>
                </c:pt>
                <c:pt idx="9">
                  <c:v>26.213999999999999</c:v>
                </c:pt>
                <c:pt idx="10">
                  <c:v>10.16</c:v>
                </c:pt>
                <c:pt idx="11">
                  <c:v>0.66</c:v>
                </c:pt>
                <c:pt idx="12">
                  <c:v>17.023</c:v>
                </c:pt>
                <c:pt idx="13">
                  <c:v>27.850999999999999</c:v>
                </c:pt>
                <c:pt idx="14">
                  <c:v>36.747999999999998</c:v>
                </c:pt>
                <c:pt idx="15">
                  <c:v>29.58</c:v>
                </c:pt>
                <c:pt idx="16">
                  <c:v>4.1360000000000001</c:v>
                </c:pt>
                <c:pt idx="17">
                  <c:v>31.923999999999999</c:v>
                </c:pt>
                <c:pt idx="18">
                  <c:v>45.113</c:v>
                </c:pt>
                <c:pt idx="19">
                  <c:v>23.46157894736842</c:v>
                </c:pt>
                <c:pt idx="20">
                  <c:v>4.1339999999999995</c:v>
                </c:pt>
              </c:numCache>
            </c:numRef>
          </c:yVal>
          <c:smooth val="0"/>
          <c:extLst>
            <c:ext xmlns:c16="http://schemas.microsoft.com/office/drawing/2014/chart" uri="{C3380CC4-5D6E-409C-BE32-E72D297353CC}">
              <c16:uniqueId val="{00000002-4B08-428E-AD8E-00F24867A1BF}"/>
            </c:ext>
          </c:extLst>
        </c:ser>
        <c:ser>
          <c:idx val="3"/>
          <c:order val="3"/>
          <c:tx>
            <c:v>Unemployment of male workers with advanced education</c:v>
          </c:tx>
          <c:spPr>
            <a:ln w="25400" cap="rnd">
              <a:noFill/>
              <a:round/>
            </a:ln>
            <a:effectLst/>
          </c:spPr>
          <c:marker>
            <c:symbol val="circle"/>
            <c:size val="5"/>
            <c:spPr>
              <a:solidFill>
                <a:schemeClr val="accent3"/>
              </a:solidFill>
              <a:ln w="9525">
                <a:solidFill>
                  <a:schemeClr val="accent4"/>
                </a:solidFill>
              </a:ln>
              <a:effectLst/>
            </c:spPr>
          </c:marker>
          <c:xVal>
            <c:strRef>
              <c:f>'Section I_Fig4'!$A$3:$A$23</c:f>
              <c:strCache>
                <c:ptCount val="21"/>
                <c:pt idx="0">
                  <c:v>Algeria, 2017</c:v>
                </c:pt>
                <c:pt idx="1">
                  <c:v>Comoros, 2021</c:v>
                </c:pt>
                <c:pt idx="2">
                  <c:v>Djibouti, 2017</c:v>
                </c:pt>
                <c:pt idx="3">
                  <c:v>Egypt, 2022</c:v>
                </c:pt>
                <c:pt idx="4">
                  <c:v>Iraq, 2021</c:v>
                </c:pt>
                <c:pt idx="5">
                  <c:v>Jordan, 2022</c:v>
                </c:pt>
                <c:pt idx="6">
                  <c:v>Kuwait, 2016</c:v>
                </c:pt>
                <c:pt idx="7">
                  <c:v>Lebanon, 2019</c:v>
                </c:pt>
                <c:pt idx="8">
                  <c:v>Morocco, 2022</c:v>
                </c:pt>
                <c:pt idx="9">
                  <c:v>Mauritania, 2019</c:v>
                </c:pt>
                <c:pt idx="10">
                  <c:v>Oman, 2021</c:v>
                </c:pt>
                <c:pt idx="11">
                  <c:v>Qatar, 2021</c:v>
                </c:pt>
                <c:pt idx="12">
                  <c:v>Saudi Arabia, 2023</c:v>
                </c:pt>
                <c:pt idx="13">
                  <c:v>Somalia, 2019</c:v>
                </c:pt>
                <c:pt idx="14">
                  <c:v>Sudan, 2022</c:v>
                </c:pt>
                <c:pt idx="15">
                  <c:v>Tunisia, 2023</c:v>
                </c:pt>
                <c:pt idx="16">
                  <c:v>United Arab Emirates, 2023</c:v>
                </c:pt>
                <c:pt idx="17">
                  <c:v>Yemen, 2014</c:v>
                </c:pt>
                <c:pt idx="18">
                  <c:v>Palestine, 2022</c:v>
                </c:pt>
                <c:pt idx="19">
                  <c:v>Arab average</c:v>
                </c:pt>
                <c:pt idx="20">
                  <c:v>OECD average</c:v>
                </c:pt>
              </c:strCache>
            </c:strRef>
          </c:xVal>
          <c:yVal>
            <c:numRef>
              <c:f>'Section I_Fig4'!$E$3:$E$23</c:f>
              <c:numCache>
                <c:formatCode>#0"%"</c:formatCode>
                <c:ptCount val="21"/>
                <c:pt idx="0">
                  <c:v>10.56</c:v>
                </c:pt>
                <c:pt idx="1">
                  <c:v>7.4729999999999999</c:v>
                </c:pt>
                <c:pt idx="2">
                  <c:v>14.151999999999999</c:v>
                </c:pt>
                <c:pt idx="3">
                  <c:v>9.6679999999999993</c:v>
                </c:pt>
                <c:pt idx="4">
                  <c:v>13.686</c:v>
                </c:pt>
                <c:pt idx="5">
                  <c:v>21.829000000000001</c:v>
                </c:pt>
                <c:pt idx="6">
                  <c:v>2.4700000000000002</c:v>
                </c:pt>
                <c:pt idx="7">
                  <c:v>12.752000000000001</c:v>
                </c:pt>
                <c:pt idx="8">
                  <c:v>19.38</c:v>
                </c:pt>
                <c:pt idx="9">
                  <c:v>9.4770000000000003</c:v>
                </c:pt>
                <c:pt idx="10">
                  <c:v>1.18</c:v>
                </c:pt>
                <c:pt idx="11">
                  <c:v>0.16</c:v>
                </c:pt>
                <c:pt idx="12">
                  <c:v>2.1949999999999998</c:v>
                </c:pt>
                <c:pt idx="13">
                  <c:v>17.055</c:v>
                </c:pt>
                <c:pt idx="14">
                  <c:v>13.167999999999999</c:v>
                </c:pt>
                <c:pt idx="15">
                  <c:v>13.004</c:v>
                </c:pt>
                <c:pt idx="16">
                  <c:v>1.827</c:v>
                </c:pt>
                <c:pt idx="17">
                  <c:v>12.01</c:v>
                </c:pt>
                <c:pt idx="18">
                  <c:v>16.097999999999999</c:v>
                </c:pt>
                <c:pt idx="19">
                  <c:v>10.428631578947366</c:v>
                </c:pt>
                <c:pt idx="20">
                  <c:v>3.5457692307692303</c:v>
                </c:pt>
              </c:numCache>
            </c:numRef>
          </c:yVal>
          <c:smooth val="0"/>
          <c:extLst>
            <c:ext xmlns:c16="http://schemas.microsoft.com/office/drawing/2014/chart" uri="{C3380CC4-5D6E-409C-BE32-E72D297353CC}">
              <c16:uniqueId val="{00000003-4B08-428E-AD8E-00F24867A1BF}"/>
            </c:ext>
          </c:extLst>
        </c:ser>
        <c:dLbls>
          <c:showLegendKey val="0"/>
          <c:showVal val="0"/>
          <c:showCatName val="0"/>
          <c:showSerName val="0"/>
          <c:showPercent val="0"/>
          <c:showBubbleSize val="0"/>
        </c:dLbls>
        <c:axId val="842181135"/>
        <c:axId val="842185455"/>
      </c:scatterChart>
      <c:catAx>
        <c:axId val="842180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186415"/>
        <c:crosses val="autoZero"/>
        <c:auto val="1"/>
        <c:lblAlgn val="ctr"/>
        <c:lblOffset val="100"/>
        <c:noMultiLvlLbl val="0"/>
      </c:catAx>
      <c:valAx>
        <c:axId val="842186415"/>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Labour Force</a:t>
                </a:r>
                <a:r>
                  <a:rPr lang="en-US" sz="900" baseline="0"/>
                  <a:t> Participation rate (%)</a:t>
                </a:r>
                <a:endParaRPr lang="en-US" sz="900"/>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180175"/>
        <c:crosses val="autoZero"/>
        <c:crossBetween val="between"/>
      </c:valAx>
      <c:valAx>
        <c:axId val="842185455"/>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Unemployment</a:t>
                </a:r>
                <a:r>
                  <a:rPr lang="en-US" sz="900" baseline="0"/>
                  <a:t> rate (%)</a:t>
                </a:r>
                <a:endParaRPr lang="en-US" sz="900"/>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quot;%&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181135"/>
        <c:crosses val="max"/>
        <c:crossBetween val="midCat"/>
      </c:valAx>
      <c:valAx>
        <c:axId val="842181135"/>
        <c:scaling>
          <c:orientation val="minMax"/>
        </c:scaling>
        <c:delete val="1"/>
        <c:axPos val="t"/>
        <c:majorTickMark val="out"/>
        <c:minorTickMark val="none"/>
        <c:tickLblPos val="nextTo"/>
        <c:crossAx val="842185455"/>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Share of female and male workers and managers (all occupations) (%)</a:t>
            </a:r>
            <a:endParaRPr lang="en-US"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99122361264658"/>
          <c:y val="9.80582940522155E-2"/>
          <c:w val="0.79911489353270881"/>
          <c:h val="0.34881305125560635"/>
        </c:manualLayout>
      </c:layout>
      <c:barChart>
        <c:barDir val="col"/>
        <c:grouping val="clustered"/>
        <c:varyColors val="0"/>
        <c:ser>
          <c:idx val="0"/>
          <c:order val="0"/>
          <c:tx>
            <c:strRef>
              <c:f>[1]Managers!$B$2</c:f>
              <c:strCache>
                <c:ptCount val="1"/>
                <c:pt idx="0">
                  <c:v>Female workers across all economic activity (%)</c:v>
                </c:pt>
              </c:strCache>
            </c:strRef>
          </c:tx>
          <c:spPr>
            <a:solidFill>
              <a:schemeClr val="accent2"/>
            </a:solidFill>
            <a:ln>
              <a:noFill/>
            </a:ln>
            <a:effectLst/>
          </c:spPr>
          <c:invertIfNegative val="0"/>
          <c:cat>
            <c:strRef>
              <c:f>[1]Managers!$A$3:$A$22</c:f>
              <c:strCache>
                <c:ptCount val="20"/>
                <c:pt idx="0">
                  <c:v>Algeria, 2017</c:v>
                </c:pt>
                <c:pt idx="1">
                  <c:v>Bahrain, 2015</c:v>
                </c:pt>
                <c:pt idx="2">
                  <c:v>Comoros, 2021</c:v>
                </c:pt>
                <c:pt idx="3">
                  <c:v>Djibouti, 2017</c:v>
                </c:pt>
                <c:pt idx="4">
                  <c:v>Egypt, 2022</c:v>
                </c:pt>
                <c:pt idx="5">
                  <c:v>Iraq, 2021</c:v>
                </c:pt>
                <c:pt idx="6">
                  <c:v>Jordan, 2022</c:v>
                </c:pt>
                <c:pt idx="7">
                  <c:v>Kuwait, 2016</c:v>
                </c:pt>
                <c:pt idx="8">
                  <c:v>Lebanon, 2019</c:v>
                </c:pt>
                <c:pt idx="9">
                  <c:v>Morocco, 2022</c:v>
                </c:pt>
                <c:pt idx="10">
                  <c:v>Palestine, 2022</c:v>
                </c:pt>
                <c:pt idx="11">
                  <c:v>Oman, 2022</c:v>
                </c:pt>
                <c:pt idx="12">
                  <c:v>Qatar, 2022</c:v>
                </c:pt>
                <c:pt idx="13">
                  <c:v>Somalia, 2019</c:v>
                </c:pt>
                <c:pt idx="14">
                  <c:v>Sudan, 2022</c:v>
                </c:pt>
                <c:pt idx="15">
                  <c:v>Tunisia, 2019</c:v>
                </c:pt>
                <c:pt idx="16">
                  <c:v>United Arab Emirates, 2023</c:v>
                </c:pt>
                <c:pt idx="17">
                  <c:v>Yemen, 2010</c:v>
                </c:pt>
                <c:pt idx="18">
                  <c:v>Regional average </c:v>
                </c:pt>
                <c:pt idx="19">
                  <c:v>OECD average</c:v>
                </c:pt>
              </c:strCache>
            </c:strRef>
          </c:cat>
          <c:val>
            <c:numRef>
              <c:f>[1]Managers!$B$3:$B$22</c:f>
              <c:numCache>
                <c:formatCode>General</c:formatCode>
                <c:ptCount val="20"/>
                <c:pt idx="0">
                  <c:v>18.099873138228677</c:v>
                </c:pt>
                <c:pt idx="1">
                  <c:v>20.980641070451743</c:v>
                </c:pt>
                <c:pt idx="2">
                  <c:v>43.458890550342694</c:v>
                </c:pt>
                <c:pt idx="3">
                  <c:v>25.026893092403458</c:v>
                </c:pt>
                <c:pt idx="4">
                  <c:v>14.979305764610801</c:v>
                </c:pt>
                <c:pt idx="5">
                  <c:v>11.544650480737474</c:v>
                </c:pt>
                <c:pt idx="6">
                  <c:v>14.967027748134489</c:v>
                </c:pt>
                <c:pt idx="7">
                  <c:v>24.008593934588383</c:v>
                </c:pt>
                <c:pt idx="8">
                  <c:v>30.490655011428448</c:v>
                </c:pt>
                <c:pt idx="9">
                  <c:v>21.273629308017345</c:v>
                </c:pt>
                <c:pt idx="10">
                  <c:v>16.084485517950487</c:v>
                </c:pt>
                <c:pt idx="11">
                  <c:v>16.068535407533872</c:v>
                </c:pt>
                <c:pt idx="12">
                  <c:v>16.621610090511997</c:v>
                </c:pt>
                <c:pt idx="13">
                  <c:v>31.045943700220906</c:v>
                </c:pt>
                <c:pt idx="14">
                  <c:v>17.863567284039348</c:v>
                </c:pt>
                <c:pt idx="15">
                  <c:v>26.579827016911995</c:v>
                </c:pt>
                <c:pt idx="16">
                  <c:v>23.093175839834363</c:v>
                </c:pt>
                <c:pt idx="17">
                  <c:v>7.0288144292103532</c:v>
                </c:pt>
                <c:pt idx="18">
                  <c:v>21.067562188064269</c:v>
                </c:pt>
                <c:pt idx="19">
                  <c:v>44.539673030080209</c:v>
                </c:pt>
              </c:numCache>
            </c:numRef>
          </c:val>
          <c:extLst>
            <c:ext xmlns:c16="http://schemas.microsoft.com/office/drawing/2014/chart" uri="{C3380CC4-5D6E-409C-BE32-E72D297353CC}">
              <c16:uniqueId val="{00000000-755B-401D-9FBC-0D1325B493A8}"/>
            </c:ext>
          </c:extLst>
        </c:ser>
        <c:ser>
          <c:idx val="1"/>
          <c:order val="1"/>
          <c:tx>
            <c:strRef>
              <c:f>[1]Managers!$C$2</c:f>
              <c:strCache>
                <c:ptCount val="1"/>
                <c:pt idx="0">
                  <c:v>Male workers across all economic activity (%)</c:v>
                </c:pt>
              </c:strCache>
            </c:strRef>
          </c:tx>
          <c:spPr>
            <a:solidFill>
              <a:schemeClr val="accent1">
                <a:lumMod val="20000"/>
                <a:lumOff val="80000"/>
              </a:schemeClr>
            </a:solidFill>
            <a:ln>
              <a:noFill/>
            </a:ln>
            <a:effectLst/>
          </c:spPr>
          <c:invertIfNegative val="0"/>
          <c:cat>
            <c:strRef>
              <c:f>[1]Managers!$A$3:$A$22</c:f>
              <c:strCache>
                <c:ptCount val="20"/>
                <c:pt idx="0">
                  <c:v>Algeria, 2017</c:v>
                </c:pt>
                <c:pt idx="1">
                  <c:v>Bahrain, 2015</c:v>
                </c:pt>
                <c:pt idx="2">
                  <c:v>Comoros, 2021</c:v>
                </c:pt>
                <c:pt idx="3">
                  <c:v>Djibouti, 2017</c:v>
                </c:pt>
                <c:pt idx="4">
                  <c:v>Egypt, 2022</c:v>
                </c:pt>
                <c:pt idx="5">
                  <c:v>Iraq, 2021</c:v>
                </c:pt>
                <c:pt idx="6">
                  <c:v>Jordan, 2022</c:v>
                </c:pt>
                <c:pt idx="7">
                  <c:v>Kuwait, 2016</c:v>
                </c:pt>
                <c:pt idx="8">
                  <c:v>Lebanon, 2019</c:v>
                </c:pt>
                <c:pt idx="9">
                  <c:v>Morocco, 2022</c:v>
                </c:pt>
                <c:pt idx="10">
                  <c:v>Palestine, 2022</c:v>
                </c:pt>
                <c:pt idx="11">
                  <c:v>Oman, 2022</c:v>
                </c:pt>
                <c:pt idx="12">
                  <c:v>Qatar, 2022</c:v>
                </c:pt>
                <c:pt idx="13">
                  <c:v>Somalia, 2019</c:v>
                </c:pt>
                <c:pt idx="14">
                  <c:v>Sudan, 2022</c:v>
                </c:pt>
                <c:pt idx="15">
                  <c:v>Tunisia, 2019</c:v>
                </c:pt>
                <c:pt idx="16">
                  <c:v>United Arab Emirates, 2023</c:v>
                </c:pt>
                <c:pt idx="17">
                  <c:v>Yemen, 2010</c:v>
                </c:pt>
                <c:pt idx="18">
                  <c:v>Regional average </c:v>
                </c:pt>
                <c:pt idx="19">
                  <c:v>OECD average</c:v>
                </c:pt>
              </c:strCache>
            </c:strRef>
          </c:cat>
          <c:val>
            <c:numRef>
              <c:f>[1]Managers!$C$3:$C$22</c:f>
              <c:numCache>
                <c:formatCode>General</c:formatCode>
                <c:ptCount val="20"/>
                <c:pt idx="0">
                  <c:v>81.900136071337286</c:v>
                </c:pt>
                <c:pt idx="1">
                  <c:v>79.019358929548261</c:v>
                </c:pt>
                <c:pt idx="2">
                  <c:v>56.541109449657313</c:v>
                </c:pt>
                <c:pt idx="3">
                  <c:v>74.971898229286268</c:v>
                </c:pt>
                <c:pt idx="4">
                  <c:v>85.0206942353892</c:v>
                </c:pt>
                <c:pt idx="5">
                  <c:v>88.455337991753453</c:v>
                </c:pt>
                <c:pt idx="6">
                  <c:v>85.032931936096276</c:v>
                </c:pt>
                <c:pt idx="7">
                  <c:v>75.99140606541161</c:v>
                </c:pt>
                <c:pt idx="8">
                  <c:v>69.50934498857157</c:v>
                </c:pt>
                <c:pt idx="9">
                  <c:v>78.726370691982666</c:v>
                </c:pt>
                <c:pt idx="10">
                  <c:v>83.915602513473203</c:v>
                </c:pt>
                <c:pt idx="11">
                  <c:v>83.931464592466142</c:v>
                </c:pt>
                <c:pt idx="12">
                  <c:v>83.378389909488007</c:v>
                </c:pt>
                <c:pt idx="13">
                  <c:v>68.954056299779097</c:v>
                </c:pt>
                <c:pt idx="14">
                  <c:v>82.136432715960666</c:v>
                </c:pt>
                <c:pt idx="15">
                  <c:v>73.420172983088008</c:v>
                </c:pt>
                <c:pt idx="16">
                  <c:v>76.906824160165627</c:v>
                </c:pt>
                <c:pt idx="17">
                  <c:v>7.5602073761429116</c:v>
                </c:pt>
                <c:pt idx="18">
                  <c:v>74.187318841088739</c:v>
                </c:pt>
                <c:pt idx="19">
                  <c:v>55.46033104502758</c:v>
                </c:pt>
              </c:numCache>
            </c:numRef>
          </c:val>
          <c:extLst>
            <c:ext xmlns:c16="http://schemas.microsoft.com/office/drawing/2014/chart" uri="{C3380CC4-5D6E-409C-BE32-E72D297353CC}">
              <c16:uniqueId val="{00000001-755B-401D-9FBC-0D1325B493A8}"/>
            </c:ext>
          </c:extLst>
        </c:ser>
        <c:dLbls>
          <c:showLegendKey val="0"/>
          <c:showVal val="0"/>
          <c:showCatName val="0"/>
          <c:showSerName val="0"/>
          <c:showPercent val="0"/>
          <c:showBubbleSize val="0"/>
        </c:dLbls>
        <c:gapWidth val="219"/>
        <c:overlap val="-27"/>
        <c:axId val="730509343"/>
        <c:axId val="720274431"/>
      </c:barChart>
      <c:lineChart>
        <c:grouping val="standard"/>
        <c:varyColors val="0"/>
        <c:ser>
          <c:idx val="2"/>
          <c:order val="2"/>
          <c:tx>
            <c:strRef>
              <c:f>[1]Managers!$D$2</c:f>
              <c:strCache>
                <c:ptCount val="1"/>
                <c:pt idx="0">
                  <c:v>Share of female managers (%)</c:v>
                </c:pt>
              </c:strCache>
            </c:strRef>
          </c:tx>
          <c:spPr>
            <a:ln w="28575" cap="rnd">
              <a:solidFill>
                <a:srgbClr val="FFBD48"/>
              </a:solidFill>
              <a:round/>
            </a:ln>
            <a:effectLst/>
          </c:spPr>
          <c:marker>
            <c:symbol val="none"/>
          </c:marker>
          <c:cat>
            <c:strRef>
              <c:f>[1]Managers!$A$3:$A$22</c:f>
              <c:strCache>
                <c:ptCount val="20"/>
                <c:pt idx="0">
                  <c:v>Algeria, 2017</c:v>
                </c:pt>
                <c:pt idx="1">
                  <c:v>Bahrain, 2015</c:v>
                </c:pt>
                <c:pt idx="2">
                  <c:v>Comoros, 2021</c:v>
                </c:pt>
                <c:pt idx="3">
                  <c:v>Djibouti, 2017</c:v>
                </c:pt>
                <c:pt idx="4">
                  <c:v>Egypt, 2022</c:v>
                </c:pt>
                <c:pt idx="5">
                  <c:v>Iraq, 2021</c:v>
                </c:pt>
                <c:pt idx="6">
                  <c:v>Jordan, 2022</c:v>
                </c:pt>
                <c:pt idx="7">
                  <c:v>Kuwait, 2016</c:v>
                </c:pt>
                <c:pt idx="8">
                  <c:v>Lebanon, 2019</c:v>
                </c:pt>
                <c:pt idx="9">
                  <c:v>Morocco, 2022</c:v>
                </c:pt>
                <c:pt idx="10">
                  <c:v>Palestine, 2022</c:v>
                </c:pt>
                <c:pt idx="11">
                  <c:v>Oman, 2022</c:v>
                </c:pt>
                <c:pt idx="12">
                  <c:v>Qatar, 2022</c:v>
                </c:pt>
                <c:pt idx="13">
                  <c:v>Somalia, 2019</c:v>
                </c:pt>
                <c:pt idx="14">
                  <c:v>Sudan, 2022</c:v>
                </c:pt>
                <c:pt idx="15">
                  <c:v>Tunisia, 2019</c:v>
                </c:pt>
                <c:pt idx="16">
                  <c:v>United Arab Emirates, 2023</c:v>
                </c:pt>
                <c:pt idx="17">
                  <c:v>Yemen, 2010</c:v>
                </c:pt>
                <c:pt idx="18">
                  <c:v>Regional average </c:v>
                </c:pt>
                <c:pt idx="19">
                  <c:v>OECD average</c:v>
                </c:pt>
              </c:strCache>
            </c:strRef>
          </c:cat>
          <c:val>
            <c:numRef>
              <c:f>[1]Managers!$D$3:$D$22</c:f>
              <c:numCache>
                <c:formatCode>General</c:formatCode>
                <c:ptCount val="20"/>
                <c:pt idx="0">
                  <c:v>1.4649418368582643</c:v>
                </c:pt>
                <c:pt idx="1">
                  <c:v>8.3209988171250568</c:v>
                </c:pt>
                <c:pt idx="2">
                  <c:v>0.72264432985131388</c:v>
                </c:pt>
                <c:pt idx="3">
                  <c:v>2.0428861199652273</c:v>
                </c:pt>
                <c:pt idx="4">
                  <c:v>3.1579206088574403</c:v>
                </c:pt>
                <c:pt idx="5">
                  <c:v>0.93371157089408052</c:v>
                </c:pt>
                <c:pt idx="6">
                  <c:v>0.91745343371627908</c:v>
                </c:pt>
                <c:pt idx="7">
                  <c:v>2.6687972564764206</c:v>
                </c:pt>
                <c:pt idx="8">
                  <c:v>4.7534530557177996</c:v>
                </c:pt>
                <c:pt idx="9">
                  <c:v>0.33857804219499332</c:v>
                </c:pt>
                <c:pt idx="10">
                  <c:v>3.5372414661244687</c:v>
                </c:pt>
                <c:pt idx="11">
                  <c:v>13.671265409341398</c:v>
                </c:pt>
                <c:pt idx="12">
                  <c:v>2.3081533912474868</c:v>
                </c:pt>
                <c:pt idx="13">
                  <c:v>10.300311782131745</c:v>
                </c:pt>
                <c:pt idx="14">
                  <c:v>1.6959470191144761</c:v>
                </c:pt>
                <c:pt idx="15">
                  <c:v>3.7493584788335284</c:v>
                </c:pt>
                <c:pt idx="16">
                  <c:v>11.705887619715339</c:v>
                </c:pt>
                <c:pt idx="17">
                  <c:v>1.9269953198561882</c:v>
                </c:pt>
                <c:pt idx="18">
                  <c:v>4.1231414198900831</c:v>
                </c:pt>
                <c:pt idx="19">
                  <c:v>5.4742379138204225</c:v>
                </c:pt>
              </c:numCache>
            </c:numRef>
          </c:val>
          <c:smooth val="0"/>
          <c:extLst>
            <c:ext xmlns:c16="http://schemas.microsoft.com/office/drawing/2014/chart" uri="{C3380CC4-5D6E-409C-BE32-E72D297353CC}">
              <c16:uniqueId val="{00000002-755B-401D-9FBC-0D1325B493A8}"/>
            </c:ext>
          </c:extLst>
        </c:ser>
        <c:ser>
          <c:idx val="3"/>
          <c:order val="3"/>
          <c:tx>
            <c:strRef>
              <c:f>[1]Managers!$E$2</c:f>
              <c:strCache>
                <c:ptCount val="1"/>
                <c:pt idx="0">
                  <c:v>Share of male managers (%)</c:v>
                </c:pt>
              </c:strCache>
            </c:strRef>
          </c:tx>
          <c:spPr>
            <a:ln w="28575" cap="rnd">
              <a:solidFill>
                <a:schemeClr val="tx2">
                  <a:lumMod val="75000"/>
                  <a:lumOff val="25000"/>
                </a:schemeClr>
              </a:solidFill>
              <a:round/>
            </a:ln>
            <a:effectLst/>
          </c:spPr>
          <c:marker>
            <c:symbol val="none"/>
          </c:marker>
          <c:cat>
            <c:strRef>
              <c:f>[1]Managers!$A$3:$A$22</c:f>
              <c:strCache>
                <c:ptCount val="20"/>
                <c:pt idx="0">
                  <c:v>Algeria, 2017</c:v>
                </c:pt>
                <c:pt idx="1">
                  <c:v>Bahrain, 2015</c:v>
                </c:pt>
                <c:pt idx="2">
                  <c:v>Comoros, 2021</c:v>
                </c:pt>
                <c:pt idx="3">
                  <c:v>Djibouti, 2017</c:v>
                </c:pt>
                <c:pt idx="4">
                  <c:v>Egypt, 2022</c:v>
                </c:pt>
                <c:pt idx="5">
                  <c:v>Iraq, 2021</c:v>
                </c:pt>
                <c:pt idx="6">
                  <c:v>Jordan, 2022</c:v>
                </c:pt>
                <c:pt idx="7">
                  <c:v>Kuwait, 2016</c:v>
                </c:pt>
                <c:pt idx="8">
                  <c:v>Lebanon, 2019</c:v>
                </c:pt>
                <c:pt idx="9">
                  <c:v>Morocco, 2022</c:v>
                </c:pt>
                <c:pt idx="10">
                  <c:v>Palestine, 2022</c:v>
                </c:pt>
                <c:pt idx="11">
                  <c:v>Oman, 2022</c:v>
                </c:pt>
                <c:pt idx="12">
                  <c:v>Qatar, 2022</c:v>
                </c:pt>
                <c:pt idx="13">
                  <c:v>Somalia, 2019</c:v>
                </c:pt>
                <c:pt idx="14">
                  <c:v>Sudan, 2022</c:v>
                </c:pt>
                <c:pt idx="15">
                  <c:v>Tunisia, 2019</c:v>
                </c:pt>
                <c:pt idx="16">
                  <c:v>United Arab Emirates, 2023</c:v>
                </c:pt>
                <c:pt idx="17">
                  <c:v>Yemen, 2010</c:v>
                </c:pt>
                <c:pt idx="18">
                  <c:v>Regional average </c:v>
                </c:pt>
                <c:pt idx="19">
                  <c:v>OECD average</c:v>
                </c:pt>
              </c:strCache>
            </c:strRef>
          </c:cat>
          <c:val>
            <c:numRef>
              <c:f>[1]Managers!$E$3:$E$22</c:f>
              <c:numCache>
                <c:formatCode>General</c:formatCode>
                <c:ptCount val="20"/>
                <c:pt idx="0">
                  <c:v>3.5466215792254134</c:v>
                </c:pt>
                <c:pt idx="1">
                  <c:v>8.03702388234443</c:v>
                </c:pt>
                <c:pt idx="2">
                  <c:v>0.53096743490380038</c:v>
                </c:pt>
                <c:pt idx="3">
                  <c:v>4.8590958921777263</c:v>
                </c:pt>
                <c:pt idx="4">
                  <c:v>3.4286158489793093</c:v>
                </c:pt>
                <c:pt idx="5">
                  <c:v>0.69043592466611658</c:v>
                </c:pt>
                <c:pt idx="6">
                  <c:v>0.17874304288932205</c:v>
                </c:pt>
                <c:pt idx="7">
                  <c:v>5.3508952676264459</c:v>
                </c:pt>
                <c:pt idx="8">
                  <c:v>7.7476230729050606</c:v>
                </c:pt>
                <c:pt idx="9">
                  <c:v>0.64747104703379821</c:v>
                </c:pt>
                <c:pt idx="10">
                  <c:v>2.7406356806113008</c:v>
                </c:pt>
                <c:pt idx="11">
                  <c:v>6.0355071182043707</c:v>
                </c:pt>
                <c:pt idx="12">
                  <c:v>2.879782008123239</c:v>
                </c:pt>
                <c:pt idx="13">
                  <c:v>11.139475776202792</c:v>
                </c:pt>
                <c:pt idx="14">
                  <c:v>1.1528677068412516</c:v>
                </c:pt>
                <c:pt idx="15">
                  <c:v>4.9398377556389459</c:v>
                </c:pt>
                <c:pt idx="16">
                  <c:v>10.744474001228213</c:v>
                </c:pt>
                <c:pt idx="17">
                  <c:v>2.4295878501680557</c:v>
                </c:pt>
                <c:pt idx="18">
                  <c:v>4.282203382764977</c:v>
                </c:pt>
                <c:pt idx="19">
                  <c:v>7.9967277191835509</c:v>
                </c:pt>
              </c:numCache>
            </c:numRef>
          </c:val>
          <c:smooth val="0"/>
          <c:extLst>
            <c:ext xmlns:c16="http://schemas.microsoft.com/office/drawing/2014/chart" uri="{C3380CC4-5D6E-409C-BE32-E72D297353CC}">
              <c16:uniqueId val="{00000003-755B-401D-9FBC-0D1325B493A8}"/>
            </c:ext>
          </c:extLst>
        </c:ser>
        <c:dLbls>
          <c:showLegendKey val="0"/>
          <c:showVal val="0"/>
          <c:showCatName val="0"/>
          <c:showSerName val="0"/>
          <c:showPercent val="0"/>
          <c:showBubbleSize val="0"/>
        </c:dLbls>
        <c:marker val="1"/>
        <c:smooth val="0"/>
        <c:axId val="720280191"/>
        <c:axId val="720278751"/>
      </c:lineChart>
      <c:catAx>
        <c:axId val="73050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274431"/>
        <c:crosses val="autoZero"/>
        <c:auto val="1"/>
        <c:lblAlgn val="ctr"/>
        <c:lblOffset val="100"/>
        <c:noMultiLvlLbl val="0"/>
      </c:catAx>
      <c:valAx>
        <c:axId val="7202744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Share of workers (%)</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509343"/>
        <c:crosses val="autoZero"/>
        <c:crossBetween val="between"/>
        <c:majorUnit val="20"/>
      </c:valAx>
      <c:valAx>
        <c:axId val="720278751"/>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Share of</a:t>
                </a:r>
                <a:r>
                  <a:rPr lang="en-US" sz="900" baseline="0"/>
                  <a:t> managers (%)</a:t>
                </a:r>
                <a:endParaRPr lang="en-US" sz="900"/>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quot;%&quot;"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280191"/>
        <c:crosses val="max"/>
        <c:crossBetween val="between"/>
        <c:majorUnit val="4"/>
      </c:valAx>
      <c:catAx>
        <c:axId val="720280191"/>
        <c:scaling>
          <c:orientation val="minMax"/>
        </c:scaling>
        <c:delete val="1"/>
        <c:axPos val="b"/>
        <c:numFmt formatCode="General" sourceLinked="1"/>
        <c:majorTickMark val="out"/>
        <c:minorTickMark val="none"/>
        <c:tickLblPos val="nextTo"/>
        <c:crossAx val="72027875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hyperlink" Target="https://data.unicef.org/resources/is-an-end-to-child-marriage-within-reach/" TargetMode="Externa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2.xml.rels><?xml version="1.0" encoding="UTF-8" standalone="yes"?>
<Relationships xmlns="http://schemas.openxmlformats.org/package/2006/relationships"><Relationship Id="rId1" Type="http://schemas.openxmlformats.org/officeDocument/2006/relationships/hyperlink" Target="https://data.unccd.int/exposure-to-land-degradation" TargetMode="Externa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 Id="rId6" Type="http://schemas.openxmlformats.org/officeDocument/2006/relationships/chart" Target="../charts/chart53.xml"/><Relationship Id="rId5" Type="http://schemas.openxmlformats.org/officeDocument/2006/relationships/chart" Target="../charts/chart52.xml"/><Relationship Id="rId4" Type="http://schemas.openxmlformats.org/officeDocument/2006/relationships/chart" Target="../charts/chart5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2.xml.rels><?xml version="1.0" encoding="UTF-8" standalone="yes"?>
<Relationships xmlns="http://schemas.openxmlformats.org/package/2006/relationships"><Relationship Id="rId1" Type="http://schemas.openxmlformats.org/officeDocument/2006/relationships/image" Target="../media/image5.png"/></Relationships>
</file>

<file path=xl/drawings/_rels/drawing53.xml.rels><?xml version="1.0" encoding="UTF-8" standalone="yes"?>
<Relationships xmlns="http://schemas.openxmlformats.org/package/2006/relationships"><Relationship Id="rId1" Type="http://schemas.openxmlformats.org/officeDocument/2006/relationships/image" Target="../media/image6.png"/></Relationships>
</file>

<file path=xl/drawings/_rels/drawing5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hyperlink" Target="https://www.unescwa.org/sites/default/files/pubs/pdf/survey-economic-social-developments-arab-region-2022-2023-english_0.pdf" TargetMode="External"/></Relationships>
</file>

<file path=xl/drawings/drawing1.xml><?xml version="1.0" encoding="utf-8"?>
<xdr:wsDr xmlns:xdr="http://schemas.openxmlformats.org/drawingml/2006/spreadsheetDrawing" xmlns:a="http://schemas.openxmlformats.org/drawingml/2006/main">
  <xdr:twoCellAnchor>
    <xdr:from>
      <xdr:col>8</xdr:col>
      <xdr:colOff>336853</xdr:colOff>
      <xdr:row>3</xdr:row>
      <xdr:rowOff>170846</xdr:rowOff>
    </xdr:from>
    <xdr:to>
      <xdr:col>22</xdr:col>
      <xdr:colOff>260654</xdr:colOff>
      <xdr:row>24</xdr:row>
      <xdr:rowOff>63499</xdr:rowOff>
    </xdr:to>
    <xdr:graphicFrame macro="">
      <xdr:nvGraphicFramePr>
        <xdr:cNvPr id="2" name="Chart 1">
          <a:extLst>
            <a:ext uri="{FF2B5EF4-FFF2-40B4-BE49-F238E27FC236}">
              <a16:creationId xmlns:a16="http://schemas.microsoft.com/office/drawing/2014/main" id="{21874F99-F795-41D3-B3A6-FB56A1087B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192616</xdr:colOff>
      <xdr:row>0</xdr:row>
      <xdr:rowOff>137582</xdr:rowOff>
    </xdr:from>
    <xdr:to>
      <xdr:col>13</xdr:col>
      <xdr:colOff>516467</xdr:colOff>
      <xdr:row>1</xdr:row>
      <xdr:rowOff>186266</xdr:rowOff>
    </xdr:to>
    <xdr:sp macro="" textlink="">
      <xdr:nvSpPr>
        <xdr:cNvPr id="2" name="TextBox 1">
          <a:extLst>
            <a:ext uri="{FF2B5EF4-FFF2-40B4-BE49-F238E27FC236}">
              <a16:creationId xmlns:a16="http://schemas.microsoft.com/office/drawing/2014/main" id="{FDF45367-6604-4A91-8920-C95C9B0B8FEF}"/>
            </a:ext>
          </a:extLst>
        </xdr:cNvPr>
        <xdr:cNvSpPr txBox="1"/>
      </xdr:nvSpPr>
      <xdr:spPr>
        <a:xfrm>
          <a:off x="8894656" y="137582"/>
          <a:ext cx="2762251" cy="2468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Source: https://pip.worldbank.org/nowcasts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249463</xdr:colOff>
      <xdr:row>1</xdr:row>
      <xdr:rowOff>20865</xdr:rowOff>
    </xdr:from>
    <xdr:to>
      <xdr:col>15</xdr:col>
      <xdr:colOff>36285</xdr:colOff>
      <xdr:row>15</xdr:row>
      <xdr:rowOff>0</xdr:rowOff>
    </xdr:to>
    <xdr:graphicFrame macro="">
      <xdr:nvGraphicFramePr>
        <xdr:cNvPr id="3" name="Chart 2">
          <a:extLst>
            <a:ext uri="{FF2B5EF4-FFF2-40B4-BE49-F238E27FC236}">
              <a16:creationId xmlns:a16="http://schemas.microsoft.com/office/drawing/2014/main" id="{E1166508-7EEA-5773-AD14-0E761B4738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258534</xdr:colOff>
      <xdr:row>0</xdr:row>
      <xdr:rowOff>277697</xdr:rowOff>
    </xdr:from>
    <xdr:to>
      <xdr:col>16</xdr:col>
      <xdr:colOff>571499</xdr:colOff>
      <xdr:row>17</xdr:row>
      <xdr:rowOff>163285</xdr:rowOff>
    </xdr:to>
    <xdr:graphicFrame macro="">
      <xdr:nvGraphicFramePr>
        <xdr:cNvPr id="3" name="Chart 2">
          <a:extLst>
            <a:ext uri="{FF2B5EF4-FFF2-40B4-BE49-F238E27FC236}">
              <a16:creationId xmlns:a16="http://schemas.microsoft.com/office/drawing/2014/main" id="{450F0382-0E7F-75C4-B392-29DBB7AE5F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164192</xdr:colOff>
      <xdr:row>0</xdr:row>
      <xdr:rowOff>39007</xdr:rowOff>
    </xdr:from>
    <xdr:to>
      <xdr:col>15</xdr:col>
      <xdr:colOff>505277</xdr:colOff>
      <xdr:row>13</xdr:row>
      <xdr:rowOff>54429</xdr:rowOff>
    </xdr:to>
    <xdr:graphicFrame macro="">
      <xdr:nvGraphicFramePr>
        <xdr:cNvPr id="4" name="Chart 3">
          <a:extLst>
            <a:ext uri="{FF2B5EF4-FFF2-40B4-BE49-F238E27FC236}">
              <a16:creationId xmlns:a16="http://schemas.microsoft.com/office/drawing/2014/main" id="{911DAB10-C5D4-466C-FEB4-E3DCD00A21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19</xdr:row>
      <xdr:rowOff>129540</xdr:rowOff>
    </xdr:from>
    <xdr:to>
      <xdr:col>2</xdr:col>
      <xdr:colOff>502920</xdr:colOff>
      <xdr:row>21</xdr:row>
      <xdr:rowOff>68580</xdr:rowOff>
    </xdr:to>
    <xdr:sp macro="" textlink="">
      <xdr:nvSpPr>
        <xdr:cNvPr id="2" name="TextBox 1">
          <a:extLst>
            <a:ext uri="{FF2B5EF4-FFF2-40B4-BE49-F238E27FC236}">
              <a16:creationId xmlns:a16="http://schemas.microsoft.com/office/drawing/2014/main" id="{C4A42632-4B6A-4E20-9942-C590AB4A71E7}"/>
            </a:ext>
          </a:extLst>
        </xdr:cNvPr>
        <xdr:cNvSpPr txBox="1"/>
      </xdr:nvSpPr>
      <xdr:spPr>
        <a:xfrm>
          <a:off x="0" y="3619500"/>
          <a:ext cx="387858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Aptos" panose="020B0004020202020204" pitchFamily="34" charset="0"/>
            </a:rPr>
            <a:t>Source: https://data.unicef.org/topic/nutrition/breastfeeding/</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435883</xdr:colOff>
      <xdr:row>0</xdr:row>
      <xdr:rowOff>0</xdr:rowOff>
    </xdr:from>
    <xdr:to>
      <xdr:col>15</xdr:col>
      <xdr:colOff>471715</xdr:colOff>
      <xdr:row>16</xdr:row>
      <xdr:rowOff>91621</xdr:rowOff>
    </xdr:to>
    <xdr:graphicFrame macro="">
      <xdr:nvGraphicFramePr>
        <xdr:cNvPr id="2" name="Chart 1">
          <a:extLst>
            <a:ext uri="{FF2B5EF4-FFF2-40B4-BE49-F238E27FC236}">
              <a16:creationId xmlns:a16="http://schemas.microsoft.com/office/drawing/2014/main" id="{F60CA39D-A556-D983-92C3-3E12FEE26D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xdr:col>
      <xdr:colOff>596900</xdr:colOff>
      <xdr:row>0</xdr:row>
      <xdr:rowOff>12700</xdr:rowOff>
    </xdr:from>
    <xdr:to>
      <xdr:col>14</xdr:col>
      <xdr:colOff>361950</xdr:colOff>
      <xdr:row>17</xdr:row>
      <xdr:rowOff>171450</xdr:rowOff>
    </xdr:to>
    <xdr:graphicFrame macro="">
      <xdr:nvGraphicFramePr>
        <xdr:cNvPr id="2" name="Chart 1">
          <a:extLst>
            <a:ext uri="{FF2B5EF4-FFF2-40B4-BE49-F238E27FC236}">
              <a16:creationId xmlns:a16="http://schemas.microsoft.com/office/drawing/2014/main" id="{563DA6B7-13F2-3383-05DF-56398EE818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259441</xdr:colOff>
      <xdr:row>0</xdr:row>
      <xdr:rowOff>485322</xdr:rowOff>
    </xdr:from>
    <xdr:to>
      <xdr:col>18</xdr:col>
      <xdr:colOff>208642</xdr:colOff>
      <xdr:row>17</xdr:row>
      <xdr:rowOff>99787</xdr:rowOff>
    </xdr:to>
    <xdr:graphicFrame macro="">
      <xdr:nvGraphicFramePr>
        <xdr:cNvPr id="4" name="Chart 3">
          <a:extLst>
            <a:ext uri="{FF2B5EF4-FFF2-40B4-BE49-F238E27FC236}">
              <a16:creationId xmlns:a16="http://schemas.microsoft.com/office/drawing/2014/main" id="{5318F596-8E70-3106-DC0C-5C3B840C07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548368</xdr:colOff>
      <xdr:row>0</xdr:row>
      <xdr:rowOff>105684</xdr:rowOff>
    </xdr:from>
    <xdr:to>
      <xdr:col>16</xdr:col>
      <xdr:colOff>163285</xdr:colOff>
      <xdr:row>16</xdr:row>
      <xdr:rowOff>127000</xdr:rowOff>
    </xdr:to>
    <xdr:graphicFrame macro="">
      <xdr:nvGraphicFramePr>
        <xdr:cNvPr id="2" name="Chart 1">
          <a:extLst>
            <a:ext uri="{FF2B5EF4-FFF2-40B4-BE49-F238E27FC236}">
              <a16:creationId xmlns:a16="http://schemas.microsoft.com/office/drawing/2014/main" id="{21CEFEB5-F446-49C9-9792-668C0C5C0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294822</xdr:colOff>
      <xdr:row>1</xdr:row>
      <xdr:rowOff>18142</xdr:rowOff>
    </xdr:from>
    <xdr:to>
      <xdr:col>19</xdr:col>
      <xdr:colOff>136071</xdr:colOff>
      <xdr:row>15</xdr:row>
      <xdr:rowOff>18142</xdr:rowOff>
    </xdr:to>
    <xdr:graphicFrame macro="">
      <xdr:nvGraphicFramePr>
        <xdr:cNvPr id="4" name="Chart 3">
          <a:extLst>
            <a:ext uri="{FF2B5EF4-FFF2-40B4-BE49-F238E27FC236}">
              <a16:creationId xmlns:a16="http://schemas.microsoft.com/office/drawing/2014/main" id="{D940FB63-95DD-BB91-D8A2-F0C5CD2D7C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100013</xdr:colOff>
      <xdr:row>1</xdr:row>
      <xdr:rowOff>4762</xdr:rowOff>
    </xdr:from>
    <xdr:to>
      <xdr:col>18</xdr:col>
      <xdr:colOff>238125</xdr:colOff>
      <xdr:row>20</xdr:row>
      <xdr:rowOff>9070</xdr:rowOff>
    </xdr:to>
    <xdr:graphicFrame macro="">
      <xdr:nvGraphicFramePr>
        <xdr:cNvPr id="2" name="Chart 1">
          <a:extLst>
            <a:ext uri="{FF2B5EF4-FFF2-40B4-BE49-F238E27FC236}">
              <a16:creationId xmlns:a16="http://schemas.microsoft.com/office/drawing/2014/main" id="{FE34395A-835C-4362-913C-00B3314331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498927</xdr:colOff>
      <xdr:row>0</xdr:row>
      <xdr:rowOff>0</xdr:rowOff>
    </xdr:from>
    <xdr:to>
      <xdr:col>22</xdr:col>
      <xdr:colOff>290283</xdr:colOff>
      <xdr:row>19</xdr:row>
      <xdr:rowOff>108856</xdr:rowOff>
    </xdr:to>
    <xdr:graphicFrame macro="">
      <xdr:nvGraphicFramePr>
        <xdr:cNvPr id="2" name="Chart 1">
          <a:extLst>
            <a:ext uri="{FF2B5EF4-FFF2-40B4-BE49-F238E27FC236}">
              <a16:creationId xmlns:a16="http://schemas.microsoft.com/office/drawing/2014/main" id="{C6E6C9C8-41B6-D128-9ED0-4200690284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8</xdr:col>
      <xdr:colOff>317501</xdr:colOff>
      <xdr:row>6</xdr:row>
      <xdr:rowOff>49530</xdr:rowOff>
    </xdr:from>
    <xdr:to>
      <xdr:col>15</xdr:col>
      <xdr:colOff>235857</xdr:colOff>
      <xdr:row>21</xdr:row>
      <xdr:rowOff>49530</xdr:rowOff>
    </xdr:to>
    <xdr:graphicFrame macro="">
      <xdr:nvGraphicFramePr>
        <xdr:cNvPr id="2" name="Chart 1">
          <a:extLst>
            <a:ext uri="{FF2B5EF4-FFF2-40B4-BE49-F238E27FC236}">
              <a16:creationId xmlns:a16="http://schemas.microsoft.com/office/drawing/2014/main" id="{C506B9B5-76A4-495F-B2A5-E22D1FDA9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42334</xdr:colOff>
      <xdr:row>20</xdr:row>
      <xdr:rowOff>177801</xdr:rowOff>
    </xdr:from>
    <xdr:to>
      <xdr:col>4</xdr:col>
      <xdr:colOff>8468</xdr:colOff>
      <xdr:row>22</xdr:row>
      <xdr:rowOff>42334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8669FFE-60E6-4FF0-90C4-56EF75922A62}"/>
            </a:ext>
          </a:extLst>
        </xdr:cNvPr>
        <xdr:cNvSpPr txBox="1"/>
      </xdr:nvSpPr>
      <xdr:spPr>
        <a:xfrm>
          <a:off x="42334" y="4003041"/>
          <a:ext cx="5117254" cy="23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Source: https://data.unicef.org/resources/is-an-end-to-child-marriage-within-reach/</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603251</xdr:colOff>
      <xdr:row>0</xdr:row>
      <xdr:rowOff>387349</xdr:rowOff>
    </xdr:from>
    <xdr:to>
      <xdr:col>18</xdr:col>
      <xdr:colOff>36286</xdr:colOff>
      <xdr:row>17</xdr:row>
      <xdr:rowOff>117927</xdr:rowOff>
    </xdr:to>
    <xdr:graphicFrame macro="">
      <xdr:nvGraphicFramePr>
        <xdr:cNvPr id="2" name="Chart 1">
          <a:extLst>
            <a:ext uri="{FF2B5EF4-FFF2-40B4-BE49-F238E27FC236}">
              <a16:creationId xmlns:a16="http://schemas.microsoft.com/office/drawing/2014/main" id="{34458803-D2C5-85C5-DB26-AA1561806F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5</xdr:col>
      <xdr:colOff>206374</xdr:colOff>
      <xdr:row>0</xdr:row>
      <xdr:rowOff>0</xdr:rowOff>
    </xdr:from>
    <xdr:to>
      <xdr:col>15</xdr:col>
      <xdr:colOff>208642</xdr:colOff>
      <xdr:row>14</xdr:row>
      <xdr:rowOff>130175</xdr:rowOff>
    </xdr:to>
    <xdr:graphicFrame macro="">
      <xdr:nvGraphicFramePr>
        <xdr:cNvPr id="2" name="Chart 1">
          <a:extLst>
            <a:ext uri="{FF2B5EF4-FFF2-40B4-BE49-F238E27FC236}">
              <a16:creationId xmlns:a16="http://schemas.microsoft.com/office/drawing/2014/main" id="{A7A2D739-6B37-302B-3A77-61088DE28D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4</xdr:col>
      <xdr:colOff>523875</xdr:colOff>
      <xdr:row>0</xdr:row>
      <xdr:rowOff>0</xdr:rowOff>
    </xdr:from>
    <xdr:to>
      <xdr:col>14</xdr:col>
      <xdr:colOff>235858</xdr:colOff>
      <xdr:row>15</xdr:row>
      <xdr:rowOff>172357</xdr:rowOff>
    </xdr:to>
    <xdr:graphicFrame macro="">
      <xdr:nvGraphicFramePr>
        <xdr:cNvPr id="3" name="Chart 2">
          <a:extLst>
            <a:ext uri="{FF2B5EF4-FFF2-40B4-BE49-F238E27FC236}">
              <a16:creationId xmlns:a16="http://schemas.microsoft.com/office/drawing/2014/main" id="{CEF9398F-B9A4-585D-2FAA-7F47F17777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6</xdr:col>
      <xdr:colOff>41275</xdr:colOff>
      <xdr:row>0</xdr:row>
      <xdr:rowOff>0</xdr:rowOff>
    </xdr:from>
    <xdr:to>
      <xdr:col>11</xdr:col>
      <xdr:colOff>241300</xdr:colOff>
      <xdr:row>9</xdr:row>
      <xdr:rowOff>63500</xdr:rowOff>
    </xdr:to>
    <xdr:graphicFrame macro="">
      <xdr:nvGraphicFramePr>
        <xdr:cNvPr id="3" name="Chart 2">
          <a:extLst>
            <a:ext uri="{FF2B5EF4-FFF2-40B4-BE49-F238E27FC236}">
              <a16:creationId xmlns:a16="http://schemas.microsoft.com/office/drawing/2014/main" id="{49570620-945B-1CDD-E8EF-0AE1F24C78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263072</xdr:colOff>
      <xdr:row>0</xdr:row>
      <xdr:rowOff>2721</xdr:rowOff>
    </xdr:from>
    <xdr:to>
      <xdr:col>15</xdr:col>
      <xdr:colOff>498929</xdr:colOff>
      <xdr:row>9</xdr:row>
      <xdr:rowOff>81643</xdr:rowOff>
    </xdr:to>
    <xdr:graphicFrame macro="">
      <xdr:nvGraphicFramePr>
        <xdr:cNvPr id="5" name="Chart 4">
          <a:extLst>
            <a:ext uri="{FF2B5EF4-FFF2-40B4-BE49-F238E27FC236}">
              <a16:creationId xmlns:a16="http://schemas.microsoft.com/office/drawing/2014/main" id="{67113335-9424-FAD2-942B-CA37EC9DC4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6</xdr:col>
      <xdr:colOff>342900</xdr:colOff>
      <xdr:row>0</xdr:row>
      <xdr:rowOff>0</xdr:rowOff>
    </xdr:from>
    <xdr:to>
      <xdr:col>17</xdr:col>
      <xdr:colOff>285749</xdr:colOff>
      <xdr:row>24</xdr:row>
      <xdr:rowOff>131536</xdr:rowOff>
    </xdr:to>
    <xdr:graphicFrame macro="">
      <xdr:nvGraphicFramePr>
        <xdr:cNvPr id="2" name="Chart 1">
          <a:extLst>
            <a:ext uri="{FF2B5EF4-FFF2-40B4-BE49-F238E27FC236}">
              <a16:creationId xmlns:a16="http://schemas.microsoft.com/office/drawing/2014/main" id="{23620B9A-2F57-399B-DA58-0DEBC88DE2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8</xdr:col>
      <xdr:colOff>396874</xdr:colOff>
      <xdr:row>0</xdr:row>
      <xdr:rowOff>98879</xdr:rowOff>
    </xdr:from>
    <xdr:to>
      <xdr:col>16</xdr:col>
      <xdr:colOff>520699</xdr:colOff>
      <xdr:row>15</xdr:row>
      <xdr:rowOff>41727</xdr:rowOff>
    </xdr:to>
    <xdr:graphicFrame macro="">
      <xdr:nvGraphicFramePr>
        <xdr:cNvPr id="2" name="Chart 1">
          <a:extLst>
            <a:ext uri="{FF2B5EF4-FFF2-40B4-BE49-F238E27FC236}">
              <a16:creationId xmlns:a16="http://schemas.microsoft.com/office/drawing/2014/main" id="{F04775A3-97E6-4490-850A-684235796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123825</xdr:colOff>
      <xdr:row>0</xdr:row>
      <xdr:rowOff>0</xdr:rowOff>
    </xdr:from>
    <xdr:to>
      <xdr:col>12</xdr:col>
      <xdr:colOff>304800</xdr:colOff>
      <xdr:row>1</xdr:row>
      <xdr:rowOff>28575</xdr:rowOff>
    </xdr:to>
    <xdr:sp macro="" textlink="">
      <xdr:nvSpPr>
        <xdr:cNvPr id="3" name="TextBox 2">
          <a:extLst>
            <a:ext uri="{FF2B5EF4-FFF2-40B4-BE49-F238E27FC236}">
              <a16:creationId xmlns:a16="http://schemas.microsoft.com/office/drawing/2014/main" id="{D3D8E4E0-12FF-4313-B1A1-42288D9AE937}"/>
            </a:ext>
          </a:extLst>
        </xdr:cNvPr>
        <xdr:cNvSpPr txBox="1"/>
      </xdr:nvSpPr>
      <xdr:spPr>
        <a:xfrm>
          <a:off x="2562225" y="114300"/>
          <a:ext cx="5057775" cy="280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9.xml><?xml version="1.0" encoding="utf-8"?>
<c:userShapes xmlns:c="http://schemas.openxmlformats.org/drawingml/2006/chart">
  <cdr:relSizeAnchor xmlns:cdr="http://schemas.openxmlformats.org/drawingml/2006/chartDrawing">
    <cdr:from>
      <cdr:x>0.14335</cdr:x>
      <cdr:y>0.16088</cdr:y>
    </cdr:from>
    <cdr:to>
      <cdr:x>0.46827</cdr:x>
      <cdr:y>0.23488</cdr:y>
    </cdr:to>
    <cdr:sp macro="" textlink="">
      <cdr:nvSpPr>
        <cdr:cNvPr id="2" name="TextBox 1">
          <a:extLst xmlns:a="http://schemas.openxmlformats.org/drawingml/2006/main">
            <a:ext uri="{FF2B5EF4-FFF2-40B4-BE49-F238E27FC236}">
              <a16:creationId xmlns:a16="http://schemas.microsoft.com/office/drawing/2014/main" id="{CE591E45-5B0E-DBCA-F62D-99714D1532D5}"/>
            </a:ext>
          </a:extLst>
        </cdr:cNvPr>
        <cdr:cNvSpPr txBox="1"/>
      </cdr:nvSpPr>
      <cdr:spPr>
        <a:xfrm xmlns:a="http://schemas.openxmlformats.org/drawingml/2006/main">
          <a:off x="714375" y="476250"/>
          <a:ext cx="16192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0.04056</cdr:x>
      <cdr:y>0.85303</cdr:y>
    </cdr:from>
    <cdr:to>
      <cdr:x>0.99851</cdr:x>
      <cdr:y>0.92308</cdr:y>
    </cdr:to>
    <cdr:sp macro="" textlink="G6_Fig23!$E$1">
      <cdr:nvSpPr>
        <cdr:cNvPr id="3" name="TextBox 2">
          <a:extLst xmlns:a="http://schemas.openxmlformats.org/drawingml/2006/main">
            <a:ext uri="{FF2B5EF4-FFF2-40B4-BE49-F238E27FC236}">
              <a16:creationId xmlns:a16="http://schemas.microsoft.com/office/drawing/2014/main" id="{73E53C2E-CECA-8976-4BB8-4ECAE1A14A42}"/>
            </a:ext>
          </a:extLst>
        </cdr:cNvPr>
        <cdr:cNvSpPr txBox="1"/>
      </cdr:nvSpPr>
      <cdr:spPr>
        <a:xfrm xmlns:a="http://schemas.openxmlformats.org/drawingml/2006/main">
          <a:off x="258821" y="3063170"/>
          <a:ext cx="6113404" cy="2515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378A78F-4A61-4553-89B1-76E44F798D02}" type="TxLink">
            <a:rPr lang="en-US" sz="900" b="0" i="0" u="none" strike="noStrike">
              <a:solidFill>
                <a:srgbClr val="333333"/>
              </a:solidFill>
              <a:latin typeface="Source Sans Pro"/>
              <a:ea typeface="Source Sans Pro"/>
              <a:cs typeface="Calibri"/>
            </a:rPr>
            <a:pPr/>
            <a:t>Note: Data does not add up to 100% as not all households harvest water and data for some households is not available.</a:t>
          </a:fld>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510540</xdr:colOff>
      <xdr:row>12</xdr:row>
      <xdr:rowOff>63502</xdr:rowOff>
    </xdr:from>
    <xdr:to>
      <xdr:col>7</xdr:col>
      <xdr:colOff>916940</xdr:colOff>
      <xdr:row>32</xdr:row>
      <xdr:rowOff>63502</xdr:rowOff>
    </xdr:to>
    <xdr:graphicFrame macro="">
      <xdr:nvGraphicFramePr>
        <xdr:cNvPr id="2" name="Chart 1">
          <a:extLst>
            <a:ext uri="{FF2B5EF4-FFF2-40B4-BE49-F238E27FC236}">
              <a16:creationId xmlns:a16="http://schemas.microsoft.com/office/drawing/2014/main" id="{6F84F618-19CC-46C1-9F29-CAD4C9A6B4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975359</xdr:colOff>
      <xdr:row>12</xdr:row>
      <xdr:rowOff>63501</xdr:rowOff>
    </xdr:from>
    <xdr:to>
      <xdr:col>8</xdr:col>
      <xdr:colOff>1381759</xdr:colOff>
      <xdr:row>32</xdr:row>
      <xdr:rowOff>63501</xdr:rowOff>
    </xdr:to>
    <xdr:graphicFrame macro="">
      <xdr:nvGraphicFramePr>
        <xdr:cNvPr id="3" name="Chart 2">
          <a:extLst>
            <a:ext uri="{FF2B5EF4-FFF2-40B4-BE49-F238E27FC236}">
              <a16:creationId xmlns:a16="http://schemas.microsoft.com/office/drawing/2014/main" id="{117A118A-B066-4CD5-B07D-AC3DAA40C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2273040</xdr:colOff>
      <xdr:row>12</xdr:row>
      <xdr:rowOff>63501</xdr:rowOff>
    </xdr:from>
    <xdr:to>
      <xdr:col>3</xdr:col>
      <xdr:colOff>98800</xdr:colOff>
      <xdr:row>32</xdr:row>
      <xdr:rowOff>63501</xdr:rowOff>
    </xdr:to>
    <xdr:graphicFrame macro="">
      <xdr:nvGraphicFramePr>
        <xdr:cNvPr id="4" name="Chart 3">
          <a:extLst>
            <a:ext uri="{FF2B5EF4-FFF2-40B4-BE49-F238E27FC236}">
              <a16:creationId xmlns:a16="http://schemas.microsoft.com/office/drawing/2014/main" id="{DF3099C6-96B4-4CF7-A9E6-E6528F9B8F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119380</xdr:colOff>
      <xdr:row>12</xdr:row>
      <xdr:rowOff>63500</xdr:rowOff>
    </xdr:from>
    <xdr:to>
      <xdr:col>0</xdr:col>
      <xdr:colOff>2222500</xdr:colOff>
      <xdr:row>32</xdr:row>
      <xdr:rowOff>63500</xdr:rowOff>
    </xdr:to>
    <xdr:graphicFrame macro="">
      <xdr:nvGraphicFramePr>
        <xdr:cNvPr id="5" name="Chart 4">
          <a:extLst>
            <a:ext uri="{FF2B5EF4-FFF2-40B4-BE49-F238E27FC236}">
              <a16:creationId xmlns:a16="http://schemas.microsoft.com/office/drawing/2014/main" id="{C5824A59-3534-46DD-8EDF-319AC835B9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155715</xdr:colOff>
      <xdr:row>12</xdr:row>
      <xdr:rowOff>63501</xdr:rowOff>
    </xdr:from>
    <xdr:to>
      <xdr:col>5</xdr:col>
      <xdr:colOff>450355</xdr:colOff>
      <xdr:row>32</xdr:row>
      <xdr:rowOff>63501</xdr:rowOff>
    </xdr:to>
    <xdr:graphicFrame macro="">
      <xdr:nvGraphicFramePr>
        <xdr:cNvPr id="6" name="Chart 5">
          <a:extLst>
            <a:ext uri="{FF2B5EF4-FFF2-40B4-BE49-F238E27FC236}">
              <a16:creationId xmlns:a16="http://schemas.microsoft.com/office/drawing/2014/main" id="{E743D612-D6D7-4517-BD46-1585313701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120196</xdr:colOff>
      <xdr:row>0</xdr:row>
      <xdr:rowOff>353785</xdr:rowOff>
    </xdr:from>
    <xdr:to>
      <xdr:col>16</xdr:col>
      <xdr:colOff>63500</xdr:colOff>
      <xdr:row>15</xdr:row>
      <xdr:rowOff>18142</xdr:rowOff>
    </xdr:to>
    <xdr:graphicFrame macro="">
      <xdr:nvGraphicFramePr>
        <xdr:cNvPr id="3" name="Chart 2">
          <a:extLst>
            <a:ext uri="{FF2B5EF4-FFF2-40B4-BE49-F238E27FC236}">
              <a16:creationId xmlns:a16="http://schemas.microsoft.com/office/drawing/2014/main" id="{1CC3141F-A4BA-EDEE-DBE0-552A105639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4</xdr:col>
      <xdr:colOff>131536</xdr:colOff>
      <xdr:row>0</xdr:row>
      <xdr:rowOff>571501</xdr:rowOff>
    </xdr:from>
    <xdr:to>
      <xdr:col>15</xdr:col>
      <xdr:colOff>362857</xdr:colOff>
      <xdr:row>17</xdr:row>
      <xdr:rowOff>124280</xdr:rowOff>
    </xdr:to>
    <xdr:graphicFrame macro="">
      <xdr:nvGraphicFramePr>
        <xdr:cNvPr id="3" name="Chart 2">
          <a:extLst>
            <a:ext uri="{FF2B5EF4-FFF2-40B4-BE49-F238E27FC236}">
              <a16:creationId xmlns:a16="http://schemas.microsoft.com/office/drawing/2014/main" id="{783D9BCC-E687-291F-97A0-7BE12C48D8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9</xdr:col>
      <xdr:colOff>165554</xdr:colOff>
      <xdr:row>1</xdr:row>
      <xdr:rowOff>186870</xdr:rowOff>
    </xdr:from>
    <xdr:to>
      <xdr:col>16</xdr:col>
      <xdr:colOff>481240</xdr:colOff>
      <xdr:row>16</xdr:row>
      <xdr:rowOff>136072</xdr:rowOff>
    </xdr:to>
    <xdr:graphicFrame macro="">
      <xdr:nvGraphicFramePr>
        <xdr:cNvPr id="3" name="Chart 2">
          <a:extLst>
            <a:ext uri="{FF2B5EF4-FFF2-40B4-BE49-F238E27FC236}">
              <a16:creationId xmlns:a16="http://schemas.microsoft.com/office/drawing/2014/main" id="{9B6BE2A2-8933-8C08-ACF2-2557374B3C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509361</xdr:colOff>
      <xdr:row>1</xdr:row>
      <xdr:rowOff>177800</xdr:rowOff>
    </xdr:from>
    <xdr:to>
      <xdr:col>24</xdr:col>
      <xdr:colOff>204561</xdr:colOff>
      <xdr:row>16</xdr:row>
      <xdr:rowOff>158750</xdr:rowOff>
    </xdr:to>
    <xdr:graphicFrame macro="">
      <xdr:nvGraphicFramePr>
        <xdr:cNvPr id="4" name="Chart 3">
          <a:extLst>
            <a:ext uri="{FF2B5EF4-FFF2-40B4-BE49-F238E27FC236}">
              <a16:creationId xmlns:a16="http://schemas.microsoft.com/office/drawing/2014/main" id="{0544D0CD-61E9-7C3B-D705-DA9A68C458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6</xdr:col>
      <xdr:colOff>337004</xdr:colOff>
      <xdr:row>0</xdr:row>
      <xdr:rowOff>147864</xdr:rowOff>
    </xdr:from>
    <xdr:to>
      <xdr:col>14</xdr:col>
      <xdr:colOff>32203</xdr:colOff>
      <xdr:row>14</xdr:row>
      <xdr:rowOff>52614</xdr:rowOff>
    </xdr:to>
    <xdr:graphicFrame macro="">
      <xdr:nvGraphicFramePr>
        <xdr:cNvPr id="2" name="Chart 1">
          <a:extLst>
            <a:ext uri="{FF2B5EF4-FFF2-40B4-BE49-F238E27FC236}">
              <a16:creationId xmlns:a16="http://schemas.microsoft.com/office/drawing/2014/main" id="{FBDB8482-40B7-A109-7231-CE7CBE7B55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14061</xdr:colOff>
      <xdr:row>0</xdr:row>
      <xdr:rowOff>120650</xdr:rowOff>
    </xdr:from>
    <xdr:to>
      <xdr:col>15</xdr:col>
      <xdr:colOff>181429</xdr:colOff>
      <xdr:row>14</xdr:row>
      <xdr:rowOff>108857</xdr:rowOff>
    </xdr:to>
    <xdr:graphicFrame macro="">
      <xdr:nvGraphicFramePr>
        <xdr:cNvPr id="2" name="Chart 1">
          <a:extLst>
            <a:ext uri="{FF2B5EF4-FFF2-40B4-BE49-F238E27FC236}">
              <a16:creationId xmlns:a16="http://schemas.microsoft.com/office/drawing/2014/main" id="{FBF3E062-807C-9438-4BF1-D81FC60E3C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8</xdr:col>
      <xdr:colOff>400502</xdr:colOff>
      <xdr:row>0</xdr:row>
      <xdr:rowOff>102505</xdr:rowOff>
    </xdr:from>
    <xdr:to>
      <xdr:col>19</xdr:col>
      <xdr:colOff>181428</xdr:colOff>
      <xdr:row>14</xdr:row>
      <xdr:rowOff>54426</xdr:rowOff>
    </xdr:to>
    <xdr:graphicFrame macro="">
      <xdr:nvGraphicFramePr>
        <xdr:cNvPr id="2" name="Chart 1">
          <a:extLst>
            <a:ext uri="{FF2B5EF4-FFF2-40B4-BE49-F238E27FC236}">
              <a16:creationId xmlns:a16="http://schemas.microsoft.com/office/drawing/2014/main" id="{28CCBEF2-C1EA-A6F1-7915-B5E8B92394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73025</xdr:colOff>
      <xdr:row>16</xdr:row>
      <xdr:rowOff>161925</xdr:rowOff>
    </xdr:from>
    <xdr:to>
      <xdr:col>4</xdr:col>
      <xdr:colOff>571500</xdr:colOff>
      <xdr:row>30</xdr:row>
      <xdr:rowOff>174625</xdr:rowOff>
    </xdr:to>
    <xdr:graphicFrame macro="">
      <xdr:nvGraphicFramePr>
        <xdr:cNvPr id="3" name="Chart 2">
          <a:extLst>
            <a:ext uri="{FF2B5EF4-FFF2-40B4-BE49-F238E27FC236}">
              <a16:creationId xmlns:a16="http://schemas.microsoft.com/office/drawing/2014/main" id="{46BDE9A0-A268-E31C-E4FD-4B3AB4B45D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111125</xdr:colOff>
      <xdr:row>16</xdr:row>
      <xdr:rowOff>111125</xdr:rowOff>
    </xdr:from>
    <xdr:to>
      <xdr:col>11</xdr:col>
      <xdr:colOff>187325</xdr:colOff>
      <xdr:row>30</xdr:row>
      <xdr:rowOff>123825</xdr:rowOff>
    </xdr:to>
    <xdr:graphicFrame macro="">
      <xdr:nvGraphicFramePr>
        <xdr:cNvPr id="4" name="Chart 3">
          <a:extLst>
            <a:ext uri="{FF2B5EF4-FFF2-40B4-BE49-F238E27FC236}">
              <a16:creationId xmlns:a16="http://schemas.microsoft.com/office/drawing/2014/main" id="{EC5214A2-062D-1C2E-3DC8-3A19A42E59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5</xdr:col>
      <xdr:colOff>510267</xdr:colOff>
      <xdr:row>0</xdr:row>
      <xdr:rowOff>84366</xdr:rowOff>
    </xdr:from>
    <xdr:to>
      <xdr:col>15</xdr:col>
      <xdr:colOff>326570</xdr:colOff>
      <xdr:row>12</xdr:row>
      <xdr:rowOff>0</xdr:rowOff>
    </xdr:to>
    <xdr:graphicFrame macro="">
      <xdr:nvGraphicFramePr>
        <xdr:cNvPr id="2" name="Chart 1">
          <a:extLst>
            <a:ext uri="{FF2B5EF4-FFF2-40B4-BE49-F238E27FC236}">
              <a16:creationId xmlns:a16="http://schemas.microsoft.com/office/drawing/2014/main" id="{C81DF9B1-BD2D-1519-7DC4-EDD5A1D366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3</xdr:col>
      <xdr:colOff>266700</xdr:colOff>
      <xdr:row>10</xdr:row>
      <xdr:rowOff>95249</xdr:rowOff>
    </xdr:from>
    <xdr:to>
      <xdr:col>13</xdr:col>
      <xdr:colOff>95250</xdr:colOff>
      <xdr:row>27</xdr:row>
      <xdr:rowOff>152400</xdr:rowOff>
    </xdr:to>
    <xdr:graphicFrame macro="">
      <xdr:nvGraphicFramePr>
        <xdr:cNvPr id="2" name="Chart 1">
          <a:extLst>
            <a:ext uri="{FF2B5EF4-FFF2-40B4-BE49-F238E27FC236}">
              <a16:creationId xmlns:a16="http://schemas.microsoft.com/office/drawing/2014/main" id="{88305E51-508B-4656-A86D-6BCE99D400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3</xdr:col>
      <xdr:colOff>46720</xdr:colOff>
      <xdr:row>1</xdr:row>
      <xdr:rowOff>54429</xdr:rowOff>
    </xdr:from>
    <xdr:to>
      <xdr:col>5</xdr:col>
      <xdr:colOff>36285</xdr:colOff>
      <xdr:row>13</xdr:row>
      <xdr:rowOff>156030</xdr:rowOff>
    </xdr:to>
    <xdr:graphicFrame macro="">
      <xdr:nvGraphicFramePr>
        <xdr:cNvPr id="2" name="Chart 1">
          <a:extLst>
            <a:ext uri="{FF2B5EF4-FFF2-40B4-BE49-F238E27FC236}">
              <a16:creationId xmlns:a16="http://schemas.microsoft.com/office/drawing/2014/main" id="{21734397-28CE-ECB7-F629-B7697F2944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20416</xdr:colOff>
      <xdr:row>5</xdr:row>
      <xdr:rowOff>29483</xdr:rowOff>
    </xdr:from>
    <xdr:to>
      <xdr:col>17</xdr:col>
      <xdr:colOff>131534</xdr:colOff>
      <xdr:row>22</xdr:row>
      <xdr:rowOff>179160</xdr:rowOff>
    </xdr:to>
    <xdr:graphicFrame macro="">
      <xdr:nvGraphicFramePr>
        <xdr:cNvPr id="3" name="Chart 2">
          <a:extLst>
            <a:ext uri="{FF2B5EF4-FFF2-40B4-BE49-F238E27FC236}">
              <a16:creationId xmlns:a16="http://schemas.microsoft.com/office/drawing/2014/main" id="{75149BC6-E7D0-BF3B-373B-E379EDC506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558800</xdr:colOff>
      <xdr:row>1</xdr:row>
      <xdr:rowOff>313872</xdr:rowOff>
    </xdr:from>
    <xdr:to>
      <xdr:col>12</xdr:col>
      <xdr:colOff>415108</xdr:colOff>
      <xdr:row>15</xdr:row>
      <xdr:rowOff>94343</xdr:rowOff>
    </xdr:to>
    <xdr:pic>
      <xdr:nvPicPr>
        <xdr:cNvPr id="5" name="Picture 4">
          <a:extLst>
            <a:ext uri="{FF2B5EF4-FFF2-40B4-BE49-F238E27FC236}">
              <a16:creationId xmlns:a16="http://schemas.microsoft.com/office/drawing/2014/main" id="{DA2AE9CC-737B-5F6C-1F87-176F35E74C36}"/>
            </a:ext>
          </a:extLst>
        </xdr:cNvPr>
        <xdr:cNvPicPr>
          <a:picLocks noChangeAspect="1"/>
        </xdr:cNvPicPr>
      </xdr:nvPicPr>
      <xdr:blipFill>
        <a:blip xmlns:r="http://schemas.openxmlformats.org/officeDocument/2006/relationships" r:embed="rId1"/>
        <a:stretch>
          <a:fillRect/>
        </a:stretch>
      </xdr:blipFill>
      <xdr:spPr>
        <a:xfrm>
          <a:off x="558800" y="1805215"/>
          <a:ext cx="7040879" cy="3100614"/>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xdr:from>
      <xdr:col>2</xdr:col>
      <xdr:colOff>571498</xdr:colOff>
      <xdr:row>1</xdr:row>
      <xdr:rowOff>48080</xdr:rowOff>
    </xdr:from>
    <xdr:to>
      <xdr:col>10</xdr:col>
      <xdr:colOff>326572</xdr:colOff>
      <xdr:row>12</xdr:row>
      <xdr:rowOff>18143</xdr:rowOff>
    </xdr:to>
    <xdr:graphicFrame macro="">
      <xdr:nvGraphicFramePr>
        <xdr:cNvPr id="4" name="Chart 3">
          <a:extLst>
            <a:ext uri="{FF2B5EF4-FFF2-40B4-BE49-F238E27FC236}">
              <a16:creationId xmlns:a16="http://schemas.microsoft.com/office/drawing/2014/main" id="{87C1421A-0D55-86B1-FBCB-7081C591D3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xdr:col>
      <xdr:colOff>618067</xdr:colOff>
      <xdr:row>9</xdr:row>
      <xdr:rowOff>93133</xdr:rowOff>
    </xdr:from>
    <xdr:to>
      <xdr:col>3</xdr:col>
      <xdr:colOff>1642533</xdr:colOff>
      <xdr:row>10</xdr:row>
      <xdr:rowOff>169333</xdr:rowOff>
    </xdr:to>
    <xdr:sp macro="" textlink="">
      <xdr:nvSpPr>
        <xdr:cNvPr id="2" name="TextBox 1">
          <a:hlinkClick xmlns:r="http://schemas.openxmlformats.org/officeDocument/2006/relationships" r:id="rId1"/>
          <a:extLst>
            <a:ext uri="{FF2B5EF4-FFF2-40B4-BE49-F238E27FC236}">
              <a16:creationId xmlns:a16="http://schemas.microsoft.com/office/drawing/2014/main" id="{E02D4425-ED7E-4944-BA56-6F5199028B23}"/>
            </a:ext>
          </a:extLst>
        </xdr:cNvPr>
        <xdr:cNvSpPr txBox="1"/>
      </xdr:nvSpPr>
      <xdr:spPr>
        <a:xfrm>
          <a:off x="1329267" y="1769533"/>
          <a:ext cx="3293533" cy="262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https://data.unccd.int/exposure-to-land-degradation </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7</xdr:col>
      <xdr:colOff>427718</xdr:colOff>
      <xdr:row>0</xdr:row>
      <xdr:rowOff>48079</xdr:rowOff>
    </xdr:from>
    <xdr:to>
      <xdr:col>17</xdr:col>
      <xdr:colOff>571500</xdr:colOff>
      <xdr:row>13</xdr:row>
      <xdr:rowOff>105229</xdr:rowOff>
    </xdr:to>
    <xdr:graphicFrame macro="">
      <xdr:nvGraphicFramePr>
        <xdr:cNvPr id="2" name="Chart 1">
          <a:extLst>
            <a:ext uri="{FF2B5EF4-FFF2-40B4-BE49-F238E27FC236}">
              <a16:creationId xmlns:a16="http://schemas.microsoft.com/office/drawing/2014/main" id="{53822FB2-FE38-9270-DF8B-E1F131AE66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9070</xdr:colOff>
      <xdr:row>1</xdr:row>
      <xdr:rowOff>154214</xdr:rowOff>
    </xdr:from>
    <xdr:to>
      <xdr:col>14</xdr:col>
      <xdr:colOff>304800</xdr:colOff>
      <xdr:row>33</xdr:row>
      <xdr:rowOff>118254</xdr:rowOff>
    </xdr:to>
    <xdr:pic>
      <xdr:nvPicPr>
        <xdr:cNvPr id="2" name="Picture 1">
          <a:extLst>
            <a:ext uri="{FF2B5EF4-FFF2-40B4-BE49-F238E27FC236}">
              <a16:creationId xmlns:a16="http://schemas.microsoft.com/office/drawing/2014/main" id="{828C7741-0E16-BA5C-0FF6-490F72696715}"/>
            </a:ext>
          </a:extLst>
        </xdr:cNvPr>
        <xdr:cNvPicPr>
          <a:picLocks noChangeAspect="1"/>
        </xdr:cNvPicPr>
      </xdr:nvPicPr>
      <xdr:blipFill>
        <a:blip xmlns:r="http://schemas.openxmlformats.org/officeDocument/2006/relationships" r:embed="rId1"/>
        <a:stretch>
          <a:fillRect/>
        </a:stretch>
      </xdr:blipFill>
      <xdr:spPr>
        <a:xfrm>
          <a:off x="605970" y="332014"/>
          <a:ext cx="8055430" cy="5653640"/>
        </a:xfrm>
        <a:prstGeom prst="rect">
          <a:avLst/>
        </a:prstGeom>
      </xdr:spPr>
    </xdr:pic>
    <xdr:clientData/>
  </xdr:twoCellAnchor>
  <xdr:twoCellAnchor>
    <xdr:from>
      <xdr:col>15</xdr:col>
      <xdr:colOff>850900</xdr:colOff>
      <xdr:row>21</xdr:row>
      <xdr:rowOff>0</xdr:rowOff>
    </xdr:from>
    <xdr:to>
      <xdr:col>32</xdr:col>
      <xdr:colOff>584200</xdr:colOff>
      <xdr:row>49</xdr:row>
      <xdr:rowOff>101600</xdr:rowOff>
    </xdr:to>
    <xdr:graphicFrame macro="">
      <xdr:nvGraphicFramePr>
        <xdr:cNvPr id="3" name="Chart 2">
          <a:extLst>
            <a:ext uri="{FF2B5EF4-FFF2-40B4-BE49-F238E27FC236}">
              <a16:creationId xmlns:a16="http://schemas.microsoft.com/office/drawing/2014/main" id="{2505DB08-B702-5F1E-806E-27B41496DA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0.90316</cdr:x>
      <cdr:y>0.17102</cdr:y>
    </cdr:from>
    <cdr:to>
      <cdr:x>0.90424</cdr:x>
      <cdr:y>0.51544</cdr:y>
    </cdr:to>
    <cdr:cxnSp macro="">
      <cdr:nvCxnSpPr>
        <cdr:cNvPr id="3" name="Straight Connector 2">
          <a:extLst xmlns:a="http://schemas.openxmlformats.org/drawingml/2006/main">
            <a:ext uri="{FF2B5EF4-FFF2-40B4-BE49-F238E27FC236}">
              <a16:creationId xmlns:a16="http://schemas.microsoft.com/office/drawing/2014/main" id="{9509CB36-3573-3FD3-CF99-53C6B17B3380}"/>
            </a:ext>
          </a:extLst>
        </cdr:cNvPr>
        <cdr:cNvCxnSpPr/>
      </cdr:nvCxnSpPr>
      <cdr:spPr>
        <a:xfrm xmlns:a="http://schemas.openxmlformats.org/drawingml/2006/main" flipH="1">
          <a:off x="10541000" y="914400"/>
          <a:ext cx="12700" cy="184150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0.84548</cdr:x>
      <cdr:y>0.20903</cdr:y>
    </cdr:from>
    <cdr:to>
      <cdr:x>0.84766</cdr:x>
      <cdr:y>0.52304</cdr:y>
    </cdr:to>
    <cdr:cxnSp macro="">
      <cdr:nvCxnSpPr>
        <cdr:cNvPr id="4" name="Straight Connector 3">
          <a:extLst xmlns:a="http://schemas.openxmlformats.org/drawingml/2006/main">
            <a:ext uri="{FF2B5EF4-FFF2-40B4-BE49-F238E27FC236}">
              <a16:creationId xmlns:a16="http://schemas.microsoft.com/office/drawing/2014/main" id="{66E048F2-BCD6-F5DC-9BDE-00C452343479}"/>
            </a:ext>
          </a:extLst>
        </cdr:cNvPr>
        <cdr:cNvCxnSpPr/>
      </cdr:nvCxnSpPr>
      <cdr:spPr>
        <a:xfrm xmlns:a="http://schemas.openxmlformats.org/drawingml/2006/main" flipH="1">
          <a:off x="9867900" y="1117600"/>
          <a:ext cx="25400" cy="167894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0.78781</cdr:x>
      <cdr:y>0.24228</cdr:y>
    </cdr:from>
    <cdr:to>
      <cdr:x>0.78999</cdr:x>
      <cdr:y>0.53634</cdr:y>
    </cdr:to>
    <cdr:cxnSp macro="">
      <cdr:nvCxnSpPr>
        <cdr:cNvPr id="5" name="Straight Connector 4">
          <a:extLst xmlns:a="http://schemas.openxmlformats.org/drawingml/2006/main">
            <a:ext uri="{FF2B5EF4-FFF2-40B4-BE49-F238E27FC236}">
              <a16:creationId xmlns:a16="http://schemas.microsoft.com/office/drawing/2014/main" id="{DFAC5B01-9C14-A9EA-2B5A-F4907713C98A}"/>
            </a:ext>
          </a:extLst>
        </cdr:cNvPr>
        <cdr:cNvCxnSpPr/>
      </cdr:nvCxnSpPr>
      <cdr:spPr>
        <a:xfrm xmlns:a="http://schemas.openxmlformats.org/drawingml/2006/main" flipH="1">
          <a:off x="9194800" y="1295400"/>
          <a:ext cx="25400" cy="157226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0.73014</cdr:x>
      <cdr:y>0.27791</cdr:y>
    </cdr:from>
    <cdr:to>
      <cdr:x>0.73123</cdr:x>
      <cdr:y>0.54489</cdr:y>
    </cdr:to>
    <cdr:cxnSp macro="">
      <cdr:nvCxnSpPr>
        <cdr:cNvPr id="6" name="Straight Connector 5">
          <a:extLst xmlns:a="http://schemas.openxmlformats.org/drawingml/2006/main">
            <a:ext uri="{FF2B5EF4-FFF2-40B4-BE49-F238E27FC236}">
              <a16:creationId xmlns:a16="http://schemas.microsoft.com/office/drawing/2014/main" id="{F33F0ED6-BB16-BF9F-31B7-F0345304B1DD}"/>
            </a:ext>
          </a:extLst>
        </cdr:cNvPr>
        <cdr:cNvCxnSpPr/>
      </cdr:nvCxnSpPr>
      <cdr:spPr>
        <a:xfrm xmlns:a="http://schemas.openxmlformats.org/drawingml/2006/main" flipH="1">
          <a:off x="8521700" y="1485900"/>
          <a:ext cx="12700" cy="142748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0.67247</cdr:x>
      <cdr:y>0.33492</cdr:y>
    </cdr:from>
    <cdr:to>
      <cdr:x>0.67247</cdr:x>
      <cdr:y>0.55582</cdr:y>
    </cdr:to>
    <cdr:cxnSp macro="">
      <cdr:nvCxnSpPr>
        <cdr:cNvPr id="7" name="Straight Connector 6">
          <a:extLst xmlns:a="http://schemas.openxmlformats.org/drawingml/2006/main">
            <a:ext uri="{FF2B5EF4-FFF2-40B4-BE49-F238E27FC236}">
              <a16:creationId xmlns:a16="http://schemas.microsoft.com/office/drawing/2014/main" id="{03C7E1AC-1ED9-C617-0318-071DF90BA501}"/>
            </a:ext>
          </a:extLst>
        </cdr:cNvPr>
        <cdr:cNvCxnSpPr/>
      </cdr:nvCxnSpPr>
      <cdr:spPr>
        <a:xfrm xmlns:a="http://schemas.openxmlformats.org/drawingml/2006/main">
          <a:off x="7848600" y="1790700"/>
          <a:ext cx="0" cy="118110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0.61915</cdr:x>
      <cdr:y>0.36342</cdr:y>
    </cdr:from>
    <cdr:to>
      <cdr:x>0.61915</cdr:x>
      <cdr:y>0.56865</cdr:y>
    </cdr:to>
    <cdr:cxnSp macro="">
      <cdr:nvCxnSpPr>
        <cdr:cNvPr id="8" name="Straight Connector 7">
          <a:extLst xmlns:a="http://schemas.openxmlformats.org/drawingml/2006/main">
            <a:ext uri="{FF2B5EF4-FFF2-40B4-BE49-F238E27FC236}">
              <a16:creationId xmlns:a16="http://schemas.microsoft.com/office/drawing/2014/main" id="{4167D299-6479-0E83-2EFC-CFA0069E6BA5}"/>
            </a:ext>
          </a:extLst>
        </cdr:cNvPr>
        <cdr:cNvCxnSpPr/>
      </cdr:nvCxnSpPr>
      <cdr:spPr>
        <a:xfrm xmlns:a="http://schemas.openxmlformats.org/drawingml/2006/main">
          <a:off x="7226300" y="1943100"/>
          <a:ext cx="0" cy="109728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0.56039</cdr:x>
      <cdr:y>0.39667</cdr:y>
    </cdr:from>
    <cdr:to>
      <cdr:x>0.56148</cdr:x>
      <cdr:y>0.5848</cdr:y>
    </cdr:to>
    <cdr:cxnSp macro="">
      <cdr:nvCxnSpPr>
        <cdr:cNvPr id="9" name="Straight Connector 8">
          <a:extLst xmlns:a="http://schemas.openxmlformats.org/drawingml/2006/main">
            <a:ext uri="{FF2B5EF4-FFF2-40B4-BE49-F238E27FC236}">
              <a16:creationId xmlns:a16="http://schemas.microsoft.com/office/drawing/2014/main" id="{004EC398-9676-F987-0530-98F50F068D77}"/>
            </a:ext>
          </a:extLst>
        </cdr:cNvPr>
        <cdr:cNvCxnSpPr/>
      </cdr:nvCxnSpPr>
      <cdr:spPr>
        <a:xfrm xmlns:a="http://schemas.openxmlformats.org/drawingml/2006/main" flipH="1">
          <a:off x="6540500" y="2120900"/>
          <a:ext cx="12700" cy="100584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0.5049</cdr:x>
      <cdr:y>0.45368</cdr:y>
    </cdr:from>
    <cdr:to>
      <cdr:x>0.5049</cdr:x>
      <cdr:y>0.59857</cdr:y>
    </cdr:to>
    <cdr:cxnSp macro="">
      <cdr:nvCxnSpPr>
        <cdr:cNvPr id="10" name="Straight Connector 9">
          <a:extLst xmlns:a="http://schemas.openxmlformats.org/drawingml/2006/main">
            <a:ext uri="{FF2B5EF4-FFF2-40B4-BE49-F238E27FC236}">
              <a16:creationId xmlns:a16="http://schemas.microsoft.com/office/drawing/2014/main" id="{3789F2D9-50DB-44B5-45A4-E9FFE99693FF}"/>
            </a:ext>
          </a:extLst>
        </cdr:cNvPr>
        <cdr:cNvCxnSpPr/>
      </cdr:nvCxnSpPr>
      <cdr:spPr>
        <a:xfrm xmlns:a="http://schemas.openxmlformats.org/drawingml/2006/main">
          <a:off x="5892800" y="2425700"/>
          <a:ext cx="0" cy="77470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0.45158</cdr:x>
      <cdr:y>0.50119</cdr:y>
    </cdr:from>
    <cdr:to>
      <cdr:x>0.45158</cdr:x>
      <cdr:y>0.60808</cdr:y>
    </cdr:to>
    <cdr:cxnSp macro="">
      <cdr:nvCxnSpPr>
        <cdr:cNvPr id="11" name="Straight Connector 10">
          <a:extLst xmlns:a="http://schemas.openxmlformats.org/drawingml/2006/main">
            <a:ext uri="{FF2B5EF4-FFF2-40B4-BE49-F238E27FC236}">
              <a16:creationId xmlns:a16="http://schemas.microsoft.com/office/drawing/2014/main" id="{A5806A9A-750D-75F3-673B-0A5F2EBE124D}"/>
            </a:ext>
          </a:extLst>
        </cdr:cNvPr>
        <cdr:cNvCxnSpPr/>
      </cdr:nvCxnSpPr>
      <cdr:spPr>
        <a:xfrm xmlns:a="http://schemas.openxmlformats.org/drawingml/2006/main">
          <a:off x="5270500" y="2679700"/>
          <a:ext cx="0" cy="57150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0.38847</cdr:x>
      <cdr:y>0.51781</cdr:y>
    </cdr:from>
    <cdr:to>
      <cdr:x>0.38847</cdr:x>
      <cdr:y>0.63563</cdr:y>
    </cdr:to>
    <cdr:cxnSp macro="">
      <cdr:nvCxnSpPr>
        <cdr:cNvPr id="12" name="Straight Connector 11">
          <a:extLst xmlns:a="http://schemas.openxmlformats.org/drawingml/2006/main">
            <a:ext uri="{FF2B5EF4-FFF2-40B4-BE49-F238E27FC236}">
              <a16:creationId xmlns:a16="http://schemas.microsoft.com/office/drawing/2014/main" id="{B8E2A96C-40FE-ABF5-97E3-9D499412FD4A}"/>
            </a:ext>
          </a:extLst>
        </cdr:cNvPr>
        <cdr:cNvCxnSpPr/>
      </cdr:nvCxnSpPr>
      <cdr:spPr>
        <a:xfrm xmlns:a="http://schemas.openxmlformats.org/drawingml/2006/main">
          <a:off x="4533900" y="2768600"/>
          <a:ext cx="0" cy="62992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0.33188</cdr:x>
      <cdr:y>0.55819</cdr:y>
    </cdr:from>
    <cdr:to>
      <cdr:x>0.33188</cdr:x>
      <cdr:y>0.66366</cdr:y>
    </cdr:to>
    <cdr:cxnSp macro="">
      <cdr:nvCxnSpPr>
        <cdr:cNvPr id="13" name="Straight Connector 12">
          <a:extLst xmlns:a="http://schemas.openxmlformats.org/drawingml/2006/main">
            <a:ext uri="{FF2B5EF4-FFF2-40B4-BE49-F238E27FC236}">
              <a16:creationId xmlns:a16="http://schemas.microsoft.com/office/drawing/2014/main" id="{18095B5C-34DD-8654-BC78-84906A2B8C28}"/>
            </a:ext>
          </a:extLst>
        </cdr:cNvPr>
        <cdr:cNvCxnSpPr/>
      </cdr:nvCxnSpPr>
      <cdr:spPr>
        <a:xfrm xmlns:a="http://schemas.openxmlformats.org/drawingml/2006/main">
          <a:off x="3873500" y="2984500"/>
          <a:ext cx="0" cy="56388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0.27203</cdr:x>
      <cdr:y>0.6057</cdr:y>
    </cdr:from>
    <cdr:to>
      <cdr:x>0.27203</cdr:x>
      <cdr:y>0.70404</cdr:y>
    </cdr:to>
    <cdr:cxnSp macro="">
      <cdr:nvCxnSpPr>
        <cdr:cNvPr id="14" name="Straight Connector 13">
          <a:extLst xmlns:a="http://schemas.openxmlformats.org/drawingml/2006/main">
            <a:ext uri="{FF2B5EF4-FFF2-40B4-BE49-F238E27FC236}">
              <a16:creationId xmlns:a16="http://schemas.microsoft.com/office/drawing/2014/main" id="{1D52EB94-3A54-58CC-99B1-32E2EBC8DA7D}"/>
            </a:ext>
          </a:extLst>
        </cdr:cNvPr>
        <cdr:cNvCxnSpPr/>
      </cdr:nvCxnSpPr>
      <cdr:spPr>
        <a:xfrm xmlns:a="http://schemas.openxmlformats.org/drawingml/2006/main">
          <a:off x="3175000" y="3238500"/>
          <a:ext cx="0" cy="52578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0.21654</cdr:x>
      <cdr:y>0.66271</cdr:y>
    </cdr:from>
    <cdr:to>
      <cdr:x>0.21763</cdr:x>
      <cdr:y>0.76152</cdr:y>
    </cdr:to>
    <cdr:cxnSp macro="">
      <cdr:nvCxnSpPr>
        <cdr:cNvPr id="15" name="Straight Connector 14">
          <a:extLst xmlns:a="http://schemas.openxmlformats.org/drawingml/2006/main">
            <a:ext uri="{FF2B5EF4-FFF2-40B4-BE49-F238E27FC236}">
              <a16:creationId xmlns:a16="http://schemas.microsoft.com/office/drawing/2014/main" id="{2F5009DA-9D4C-113E-53D2-1268A393921E}"/>
            </a:ext>
          </a:extLst>
        </cdr:cNvPr>
        <cdr:cNvCxnSpPr/>
      </cdr:nvCxnSpPr>
      <cdr:spPr>
        <a:xfrm xmlns:a="http://schemas.openxmlformats.org/drawingml/2006/main" flipH="1">
          <a:off x="2527300" y="3543300"/>
          <a:ext cx="12700" cy="52832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0.15452</cdr:x>
      <cdr:y>0.70784</cdr:y>
    </cdr:from>
    <cdr:to>
      <cdr:x>0.1556</cdr:x>
      <cdr:y>0.82375</cdr:y>
    </cdr:to>
    <cdr:cxnSp macro="">
      <cdr:nvCxnSpPr>
        <cdr:cNvPr id="16" name="Straight Connector 15">
          <a:extLst xmlns:a="http://schemas.openxmlformats.org/drawingml/2006/main">
            <a:ext uri="{FF2B5EF4-FFF2-40B4-BE49-F238E27FC236}">
              <a16:creationId xmlns:a16="http://schemas.microsoft.com/office/drawing/2014/main" id="{6133F908-20DC-9BEF-D50F-A10EA6777D2A}"/>
            </a:ext>
          </a:extLst>
        </cdr:cNvPr>
        <cdr:cNvCxnSpPr/>
      </cdr:nvCxnSpPr>
      <cdr:spPr>
        <a:xfrm xmlns:a="http://schemas.openxmlformats.org/drawingml/2006/main" flipH="1">
          <a:off x="1803400" y="3784600"/>
          <a:ext cx="12700" cy="619760"/>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0.11317</cdr:x>
      <cdr:y>0.66033</cdr:y>
    </cdr:from>
    <cdr:to>
      <cdr:x>0.20892</cdr:x>
      <cdr:y>0.69834</cdr:y>
    </cdr:to>
    <cdr:sp macro="" textlink="">
      <cdr:nvSpPr>
        <cdr:cNvPr id="34" name="TextBox 33">
          <a:extLst xmlns:a="http://schemas.openxmlformats.org/drawingml/2006/main">
            <a:ext uri="{FF2B5EF4-FFF2-40B4-BE49-F238E27FC236}">
              <a16:creationId xmlns:a16="http://schemas.microsoft.com/office/drawing/2014/main" id="{B4F3EE81-9A4D-86C9-80BA-A9D85B37755F}"/>
            </a:ext>
          </a:extLst>
        </cdr:cNvPr>
        <cdr:cNvSpPr txBox="1"/>
      </cdr:nvSpPr>
      <cdr:spPr>
        <a:xfrm xmlns:a="http://schemas.openxmlformats.org/drawingml/2006/main">
          <a:off x="1320800" y="35306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31</a:t>
          </a:r>
          <a:r>
            <a:rPr lang="en-US" sz="1100" kern="1200" baseline="0"/>
            <a:t> Oct. 2023</a:t>
          </a:r>
          <a:endParaRPr lang="en-US" sz="1100" kern="1200"/>
        </a:p>
      </cdr:txBody>
    </cdr:sp>
  </cdr:relSizeAnchor>
  <cdr:relSizeAnchor xmlns:cdr="http://schemas.openxmlformats.org/drawingml/2006/chartDrawing">
    <cdr:from>
      <cdr:x>0.18281</cdr:x>
      <cdr:y>0.6152</cdr:y>
    </cdr:from>
    <cdr:to>
      <cdr:x>0.27856</cdr:x>
      <cdr:y>0.65321</cdr:y>
    </cdr:to>
    <cdr:sp macro="" textlink="">
      <cdr:nvSpPr>
        <cdr:cNvPr id="39" name="TextBox 38">
          <a:extLst xmlns:a="http://schemas.openxmlformats.org/drawingml/2006/main">
            <a:ext uri="{FF2B5EF4-FFF2-40B4-BE49-F238E27FC236}">
              <a16:creationId xmlns:a16="http://schemas.microsoft.com/office/drawing/2014/main" id="{8AE6392B-1B10-28DE-EF10-6B1AA20BF245}"/>
            </a:ext>
          </a:extLst>
        </cdr:cNvPr>
        <cdr:cNvSpPr txBox="1"/>
      </cdr:nvSpPr>
      <cdr:spPr>
        <a:xfrm xmlns:a="http://schemas.openxmlformats.org/drawingml/2006/main">
          <a:off x="2133600" y="32893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30</a:t>
          </a:r>
          <a:r>
            <a:rPr lang="en-US" sz="1100" kern="1200" baseline="0"/>
            <a:t> Nov. 2023</a:t>
          </a:r>
          <a:endParaRPr lang="en-US" sz="1100" kern="1200"/>
        </a:p>
      </cdr:txBody>
    </cdr:sp>
  </cdr:relSizeAnchor>
  <cdr:relSizeAnchor xmlns:cdr="http://schemas.openxmlformats.org/drawingml/2006/chartDrawing">
    <cdr:from>
      <cdr:x>0.23504</cdr:x>
      <cdr:y>0.56295</cdr:y>
    </cdr:from>
    <cdr:to>
      <cdr:x>0.33079</cdr:x>
      <cdr:y>0.60095</cdr:y>
    </cdr:to>
    <cdr:sp macro="" textlink="">
      <cdr:nvSpPr>
        <cdr:cNvPr id="40" name="TextBox 39">
          <a:extLst xmlns:a="http://schemas.openxmlformats.org/drawingml/2006/main">
            <a:ext uri="{FF2B5EF4-FFF2-40B4-BE49-F238E27FC236}">
              <a16:creationId xmlns:a16="http://schemas.microsoft.com/office/drawing/2014/main" id="{236E2AB6-3A13-035A-2F4C-2EA3826D4D15}"/>
            </a:ext>
          </a:extLst>
        </cdr:cNvPr>
        <cdr:cNvSpPr txBox="1"/>
      </cdr:nvSpPr>
      <cdr:spPr>
        <a:xfrm xmlns:a="http://schemas.openxmlformats.org/drawingml/2006/main">
          <a:off x="2743200" y="30099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31</a:t>
          </a:r>
          <a:r>
            <a:rPr lang="en-US" sz="1100" kern="1200" baseline="0"/>
            <a:t> DEc. 2023</a:t>
          </a:r>
          <a:endParaRPr lang="en-US" sz="1100" kern="1200"/>
        </a:p>
      </cdr:txBody>
    </cdr:sp>
  </cdr:relSizeAnchor>
  <cdr:relSizeAnchor xmlns:cdr="http://schemas.openxmlformats.org/drawingml/2006/chartDrawing">
    <cdr:from>
      <cdr:x>0.29271</cdr:x>
      <cdr:y>0.52019</cdr:y>
    </cdr:from>
    <cdr:to>
      <cdr:x>0.38847</cdr:x>
      <cdr:y>0.55819</cdr:y>
    </cdr:to>
    <cdr:sp macro="" textlink="">
      <cdr:nvSpPr>
        <cdr:cNvPr id="41" name="TextBox 40">
          <a:extLst xmlns:a="http://schemas.openxmlformats.org/drawingml/2006/main">
            <a:ext uri="{FF2B5EF4-FFF2-40B4-BE49-F238E27FC236}">
              <a16:creationId xmlns:a16="http://schemas.microsoft.com/office/drawing/2014/main" id="{7407E3D8-A019-32B9-9BF7-FB8576B4A5FB}"/>
            </a:ext>
          </a:extLst>
        </cdr:cNvPr>
        <cdr:cNvSpPr txBox="1"/>
      </cdr:nvSpPr>
      <cdr:spPr>
        <a:xfrm xmlns:a="http://schemas.openxmlformats.org/drawingml/2006/main">
          <a:off x="3416300" y="27813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31</a:t>
          </a:r>
          <a:r>
            <a:rPr lang="en-US" sz="1100" kern="1200" baseline="0"/>
            <a:t> Jan. 2024</a:t>
          </a:r>
          <a:endParaRPr lang="en-US" sz="1100" kern="1200"/>
        </a:p>
      </cdr:txBody>
    </cdr:sp>
  </cdr:relSizeAnchor>
  <cdr:relSizeAnchor xmlns:cdr="http://schemas.openxmlformats.org/drawingml/2006/chartDrawing">
    <cdr:from>
      <cdr:x>0.35365</cdr:x>
      <cdr:y>0.48219</cdr:y>
    </cdr:from>
    <cdr:to>
      <cdr:x>0.4494</cdr:x>
      <cdr:y>0.52019</cdr:y>
    </cdr:to>
    <cdr:sp macro="" textlink="">
      <cdr:nvSpPr>
        <cdr:cNvPr id="42" name="TextBox 41">
          <a:extLst xmlns:a="http://schemas.openxmlformats.org/drawingml/2006/main">
            <a:ext uri="{FF2B5EF4-FFF2-40B4-BE49-F238E27FC236}">
              <a16:creationId xmlns:a16="http://schemas.microsoft.com/office/drawing/2014/main" id="{D76A6F8F-FF5B-BF96-AA6D-DDDC94DD8BC2}"/>
            </a:ext>
          </a:extLst>
        </cdr:cNvPr>
        <cdr:cNvSpPr txBox="1"/>
      </cdr:nvSpPr>
      <cdr:spPr>
        <a:xfrm xmlns:a="http://schemas.openxmlformats.org/drawingml/2006/main">
          <a:off x="4127500" y="25781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29</a:t>
          </a:r>
          <a:r>
            <a:rPr lang="en-US" sz="1100" kern="1200" baseline="0"/>
            <a:t> Feb. 2024</a:t>
          </a:r>
          <a:endParaRPr lang="en-US" sz="1100" kern="1200"/>
        </a:p>
      </cdr:txBody>
    </cdr:sp>
  </cdr:relSizeAnchor>
  <cdr:relSizeAnchor xmlns:cdr="http://schemas.openxmlformats.org/drawingml/2006/chartDrawing">
    <cdr:from>
      <cdr:x>0.40805</cdr:x>
      <cdr:y>0.43943</cdr:y>
    </cdr:from>
    <cdr:to>
      <cdr:x>0.50381</cdr:x>
      <cdr:y>0.47743</cdr:y>
    </cdr:to>
    <cdr:sp macro="" textlink="">
      <cdr:nvSpPr>
        <cdr:cNvPr id="43" name="TextBox 42">
          <a:extLst xmlns:a="http://schemas.openxmlformats.org/drawingml/2006/main">
            <a:ext uri="{FF2B5EF4-FFF2-40B4-BE49-F238E27FC236}">
              <a16:creationId xmlns:a16="http://schemas.microsoft.com/office/drawing/2014/main" id="{CB508CE3-D0FB-2F32-CBC8-1F97B967EDB5}"/>
            </a:ext>
          </a:extLst>
        </cdr:cNvPr>
        <cdr:cNvSpPr txBox="1"/>
      </cdr:nvSpPr>
      <cdr:spPr>
        <a:xfrm xmlns:a="http://schemas.openxmlformats.org/drawingml/2006/main">
          <a:off x="4762500" y="23495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31</a:t>
          </a:r>
          <a:r>
            <a:rPr lang="en-US" sz="1100" kern="1200" baseline="0"/>
            <a:t> Mar. 2024</a:t>
          </a:r>
          <a:endParaRPr lang="en-US" sz="1100" kern="1200"/>
        </a:p>
      </cdr:txBody>
    </cdr:sp>
  </cdr:relSizeAnchor>
  <cdr:relSizeAnchor xmlns:cdr="http://schemas.openxmlformats.org/drawingml/2006/chartDrawing">
    <cdr:from>
      <cdr:x>0.46246</cdr:x>
      <cdr:y>0.4038</cdr:y>
    </cdr:from>
    <cdr:to>
      <cdr:x>0.55822</cdr:x>
      <cdr:y>0.44181</cdr:y>
    </cdr:to>
    <cdr:sp macro="" textlink="">
      <cdr:nvSpPr>
        <cdr:cNvPr id="44" name="TextBox 43">
          <a:extLst xmlns:a="http://schemas.openxmlformats.org/drawingml/2006/main">
            <a:ext uri="{FF2B5EF4-FFF2-40B4-BE49-F238E27FC236}">
              <a16:creationId xmlns:a16="http://schemas.microsoft.com/office/drawing/2014/main" id="{6E36D47F-9E88-504A-A1D4-39CA415910CD}"/>
            </a:ext>
          </a:extLst>
        </cdr:cNvPr>
        <cdr:cNvSpPr txBox="1"/>
      </cdr:nvSpPr>
      <cdr:spPr>
        <a:xfrm xmlns:a="http://schemas.openxmlformats.org/drawingml/2006/main">
          <a:off x="5397500" y="21590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30</a:t>
          </a:r>
          <a:r>
            <a:rPr lang="en-US" sz="1100" kern="1200" baseline="0"/>
            <a:t> Apr. 2024</a:t>
          </a:r>
          <a:endParaRPr lang="en-US" sz="1100" kern="1200"/>
        </a:p>
      </cdr:txBody>
    </cdr:sp>
  </cdr:relSizeAnchor>
  <cdr:relSizeAnchor xmlns:cdr="http://schemas.openxmlformats.org/drawingml/2006/chartDrawing">
    <cdr:from>
      <cdr:x>0.52339</cdr:x>
      <cdr:y>0.35629</cdr:y>
    </cdr:from>
    <cdr:to>
      <cdr:x>0.61915</cdr:x>
      <cdr:y>0.3943</cdr:y>
    </cdr:to>
    <cdr:sp macro="" textlink="">
      <cdr:nvSpPr>
        <cdr:cNvPr id="45" name="TextBox 44">
          <a:extLst xmlns:a="http://schemas.openxmlformats.org/drawingml/2006/main">
            <a:ext uri="{FF2B5EF4-FFF2-40B4-BE49-F238E27FC236}">
              <a16:creationId xmlns:a16="http://schemas.microsoft.com/office/drawing/2014/main" id="{B6E37DFE-09C1-CA93-F412-6D8839B8B446}"/>
            </a:ext>
          </a:extLst>
        </cdr:cNvPr>
        <cdr:cNvSpPr txBox="1"/>
      </cdr:nvSpPr>
      <cdr:spPr>
        <a:xfrm xmlns:a="http://schemas.openxmlformats.org/drawingml/2006/main">
          <a:off x="6108700" y="19050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31</a:t>
          </a:r>
          <a:r>
            <a:rPr lang="en-US" sz="1100" kern="1200" baseline="0"/>
            <a:t> May. 2024</a:t>
          </a:r>
          <a:endParaRPr lang="en-US" sz="1100" kern="1200"/>
        </a:p>
      </cdr:txBody>
    </cdr:sp>
  </cdr:relSizeAnchor>
  <cdr:relSizeAnchor xmlns:cdr="http://schemas.openxmlformats.org/drawingml/2006/chartDrawing">
    <cdr:from>
      <cdr:x>0.57563</cdr:x>
      <cdr:y>0.30879</cdr:y>
    </cdr:from>
    <cdr:to>
      <cdr:x>0.67138</cdr:x>
      <cdr:y>0.34679</cdr:y>
    </cdr:to>
    <cdr:sp macro="" textlink="">
      <cdr:nvSpPr>
        <cdr:cNvPr id="46" name="TextBox 45">
          <a:extLst xmlns:a="http://schemas.openxmlformats.org/drawingml/2006/main">
            <a:ext uri="{FF2B5EF4-FFF2-40B4-BE49-F238E27FC236}">
              <a16:creationId xmlns:a16="http://schemas.microsoft.com/office/drawing/2014/main" id="{E82993EC-8113-A198-0693-DDDED0071F22}"/>
            </a:ext>
          </a:extLst>
        </cdr:cNvPr>
        <cdr:cNvSpPr txBox="1"/>
      </cdr:nvSpPr>
      <cdr:spPr>
        <a:xfrm xmlns:a="http://schemas.openxmlformats.org/drawingml/2006/main">
          <a:off x="6718300" y="16510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30 Jun</a:t>
          </a:r>
          <a:r>
            <a:rPr lang="en-US" sz="1100" kern="1200" baseline="0"/>
            <a:t>. 2024</a:t>
          </a:r>
          <a:endParaRPr lang="en-US" sz="1100" kern="1200"/>
        </a:p>
      </cdr:txBody>
    </cdr:sp>
  </cdr:relSizeAnchor>
  <cdr:relSizeAnchor xmlns:cdr="http://schemas.openxmlformats.org/drawingml/2006/chartDrawing">
    <cdr:from>
      <cdr:x>0.63547</cdr:x>
      <cdr:y>0.27791</cdr:y>
    </cdr:from>
    <cdr:to>
      <cdr:x>0.73123</cdr:x>
      <cdr:y>0.31591</cdr:y>
    </cdr:to>
    <cdr:sp macro="" textlink="">
      <cdr:nvSpPr>
        <cdr:cNvPr id="47" name="TextBox 46">
          <a:extLst xmlns:a="http://schemas.openxmlformats.org/drawingml/2006/main">
            <a:ext uri="{FF2B5EF4-FFF2-40B4-BE49-F238E27FC236}">
              <a16:creationId xmlns:a16="http://schemas.microsoft.com/office/drawing/2014/main" id="{D74238BB-1047-1880-6C9C-785ACB3B5B45}"/>
            </a:ext>
          </a:extLst>
        </cdr:cNvPr>
        <cdr:cNvSpPr txBox="1"/>
      </cdr:nvSpPr>
      <cdr:spPr>
        <a:xfrm xmlns:a="http://schemas.openxmlformats.org/drawingml/2006/main">
          <a:off x="7416800" y="14859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31</a:t>
          </a:r>
          <a:r>
            <a:rPr lang="en-US" sz="1100" kern="1200" baseline="0"/>
            <a:t> Jul. 2024</a:t>
          </a:r>
          <a:endParaRPr lang="en-US" sz="1100" kern="1200"/>
        </a:p>
      </cdr:txBody>
    </cdr:sp>
  </cdr:relSizeAnchor>
  <cdr:relSizeAnchor xmlns:cdr="http://schemas.openxmlformats.org/drawingml/2006/chartDrawing">
    <cdr:from>
      <cdr:x>0.69859</cdr:x>
      <cdr:y>0.23278</cdr:y>
    </cdr:from>
    <cdr:to>
      <cdr:x>0.79434</cdr:x>
      <cdr:y>0.27078</cdr:y>
    </cdr:to>
    <cdr:sp macro="" textlink="">
      <cdr:nvSpPr>
        <cdr:cNvPr id="53" name="TextBox 52">
          <a:extLst xmlns:a="http://schemas.openxmlformats.org/drawingml/2006/main">
            <a:ext uri="{FF2B5EF4-FFF2-40B4-BE49-F238E27FC236}">
              <a16:creationId xmlns:a16="http://schemas.microsoft.com/office/drawing/2014/main" id="{C4321F75-E636-E490-EDC2-4F736712687B}"/>
            </a:ext>
          </a:extLst>
        </cdr:cNvPr>
        <cdr:cNvSpPr txBox="1"/>
      </cdr:nvSpPr>
      <cdr:spPr>
        <a:xfrm xmlns:a="http://schemas.openxmlformats.org/drawingml/2006/main">
          <a:off x="8153400" y="12446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31</a:t>
          </a:r>
          <a:r>
            <a:rPr lang="en-US" sz="1100" kern="1200" baseline="0"/>
            <a:t> Aug. 2024</a:t>
          </a:r>
          <a:endParaRPr lang="en-US" sz="1100" kern="1200"/>
        </a:p>
      </cdr:txBody>
    </cdr:sp>
  </cdr:relSizeAnchor>
  <cdr:relSizeAnchor xmlns:cdr="http://schemas.openxmlformats.org/drawingml/2006/chartDrawing">
    <cdr:from>
      <cdr:x>0.74864</cdr:x>
      <cdr:y>0.1924</cdr:y>
    </cdr:from>
    <cdr:to>
      <cdr:x>0.8444</cdr:x>
      <cdr:y>0.2304</cdr:y>
    </cdr:to>
    <cdr:sp macro="" textlink="">
      <cdr:nvSpPr>
        <cdr:cNvPr id="54" name="TextBox 53">
          <a:extLst xmlns:a="http://schemas.openxmlformats.org/drawingml/2006/main">
            <a:ext uri="{FF2B5EF4-FFF2-40B4-BE49-F238E27FC236}">
              <a16:creationId xmlns:a16="http://schemas.microsoft.com/office/drawing/2014/main" id="{F09299EA-6523-5EDF-B79A-AAD368E734DD}"/>
            </a:ext>
          </a:extLst>
        </cdr:cNvPr>
        <cdr:cNvSpPr txBox="1"/>
      </cdr:nvSpPr>
      <cdr:spPr>
        <a:xfrm xmlns:a="http://schemas.openxmlformats.org/drawingml/2006/main">
          <a:off x="8737600" y="10287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30</a:t>
          </a:r>
          <a:r>
            <a:rPr lang="en-US" sz="1100" kern="1200" baseline="0"/>
            <a:t> Sep. 2024</a:t>
          </a:r>
          <a:endParaRPr lang="en-US" sz="1100" kern="1200"/>
        </a:p>
      </cdr:txBody>
    </cdr:sp>
  </cdr:relSizeAnchor>
  <cdr:relSizeAnchor xmlns:cdr="http://schemas.openxmlformats.org/drawingml/2006/chartDrawing">
    <cdr:from>
      <cdr:x>0.80522</cdr:x>
      <cdr:y>0.14964</cdr:y>
    </cdr:from>
    <cdr:to>
      <cdr:x>0.90098</cdr:x>
      <cdr:y>0.18765</cdr:y>
    </cdr:to>
    <cdr:sp macro="" textlink="">
      <cdr:nvSpPr>
        <cdr:cNvPr id="55" name="TextBox 54">
          <a:extLst xmlns:a="http://schemas.openxmlformats.org/drawingml/2006/main">
            <a:ext uri="{FF2B5EF4-FFF2-40B4-BE49-F238E27FC236}">
              <a16:creationId xmlns:a16="http://schemas.microsoft.com/office/drawing/2014/main" id="{CA051A5A-8BDB-901F-3800-7ADD6C6E96DE}"/>
            </a:ext>
          </a:extLst>
        </cdr:cNvPr>
        <cdr:cNvSpPr txBox="1"/>
      </cdr:nvSpPr>
      <cdr:spPr>
        <a:xfrm xmlns:a="http://schemas.openxmlformats.org/drawingml/2006/main">
          <a:off x="9398000" y="8001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31</a:t>
          </a:r>
          <a:r>
            <a:rPr lang="en-US" sz="1100" kern="1200" baseline="0"/>
            <a:t> Oct. 2024</a:t>
          </a:r>
          <a:endParaRPr lang="en-US" sz="1100" kern="1200"/>
        </a:p>
      </cdr:txBody>
    </cdr:sp>
  </cdr:relSizeAnchor>
  <cdr:relSizeAnchor xmlns:cdr="http://schemas.openxmlformats.org/drawingml/2006/chartDrawing">
    <cdr:from>
      <cdr:x>0.86725</cdr:x>
      <cdr:y>0.09739</cdr:y>
    </cdr:from>
    <cdr:to>
      <cdr:x>0.963</cdr:x>
      <cdr:y>0.13539</cdr:y>
    </cdr:to>
    <cdr:sp macro="" textlink="">
      <cdr:nvSpPr>
        <cdr:cNvPr id="56" name="TextBox 55">
          <a:extLst xmlns:a="http://schemas.openxmlformats.org/drawingml/2006/main">
            <a:ext uri="{FF2B5EF4-FFF2-40B4-BE49-F238E27FC236}">
              <a16:creationId xmlns:a16="http://schemas.microsoft.com/office/drawing/2014/main" id="{6599A4A5-32FE-3257-A39A-F51754BA4B70}"/>
            </a:ext>
          </a:extLst>
        </cdr:cNvPr>
        <cdr:cNvSpPr txBox="1"/>
      </cdr:nvSpPr>
      <cdr:spPr>
        <a:xfrm xmlns:a="http://schemas.openxmlformats.org/drawingml/2006/main">
          <a:off x="10121900" y="520700"/>
          <a:ext cx="1117600" cy="203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By 30</a:t>
          </a:r>
          <a:r>
            <a:rPr lang="en-US" sz="1100" kern="1200" baseline="0"/>
            <a:t> Nov. 2024</a:t>
          </a:r>
          <a:endParaRPr lang="en-US" sz="1100" kern="1200"/>
        </a:p>
      </cdr:txBody>
    </cdr:sp>
  </cdr:relSizeAnchor>
</c:userShapes>
</file>

<file path=xl/drawings/drawing46.xml><?xml version="1.0" encoding="utf-8"?>
<xdr:wsDr xmlns:xdr="http://schemas.openxmlformats.org/drawingml/2006/spreadsheetDrawing" xmlns:a="http://schemas.openxmlformats.org/drawingml/2006/main">
  <xdr:twoCellAnchor>
    <xdr:from>
      <xdr:col>4</xdr:col>
      <xdr:colOff>323850</xdr:colOff>
      <xdr:row>0</xdr:row>
      <xdr:rowOff>104775</xdr:rowOff>
    </xdr:from>
    <xdr:to>
      <xdr:col>15</xdr:col>
      <xdr:colOff>587376</xdr:colOff>
      <xdr:row>17</xdr:row>
      <xdr:rowOff>169862</xdr:rowOff>
    </xdr:to>
    <xdr:graphicFrame macro="">
      <xdr:nvGraphicFramePr>
        <xdr:cNvPr id="2" name="Chart 1">
          <a:extLst>
            <a:ext uri="{FF2B5EF4-FFF2-40B4-BE49-F238E27FC236}">
              <a16:creationId xmlns:a16="http://schemas.microsoft.com/office/drawing/2014/main" id="{30C9F001-82FF-4ED9-9745-74934A327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5</xdr:col>
      <xdr:colOff>112940</xdr:colOff>
      <xdr:row>0</xdr:row>
      <xdr:rowOff>151493</xdr:rowOff>
    </xdr:from>
    <xdr:to>
      <xdr:col>13</xdr:col>
      <xdr:colOff>444501</xdr:colOff>
      <xdr:row>12</xdr:row>
      <xdr:rowOff>90715</xdr:rowOff>
    </xdr:to>
    <xdr:graphicFrame macro="">
      <xdr:nvGraphicFramePr>
        <xdr:cNvPr id="2" name="Chart 1">
          <a:extLst>
            <a:ext uri="{FF2B5EF4-FFF2-40B4-BE49-F238E27FC236}">
              <a16:creationId xmlns:a16="http://schemas.microsoft.com/office/drawing/2014/main" id="{832C308C-A6D4-4392-F306-71DF490440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6</xdr:col>
      <xdr:colOff>174624</xdr:colOff>
      <xdr:row>0</xdr:row>
      <xdr:rowOff>0</xdr:rowOff>
    </xdr:from>
    <xdr:to>
      <xdr:col>15</xdr:col>
      <xdr:colOff>88899</xdr:colOff>
      <xdr:row>17</xdr:row>
      <xdr:rowOff>0</xdr:rowOff>
    </xdr:to>
    <xdr:graphicFrame macro="">
      <xdr:nvGraphicFramePr>
        <xdr:cNvPr id="3" name="Chart 2">
          <a:extLst>
            <a:ext uri="{FF2B5EF4-FFF2-40B4-BE49-F238E27FC236}">
              <a16:creationId xmlns:a16="http://schemas.microsoft.com/office/drawing/2014/main" id="{A630A3A3-0347-1488-502F-D420CB89BF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1</xdr:col>
      <xdr:colOff>461010</xdr:colOff>
      <xdr:row>10</xdr:row>
      <xdr:rowOff>34290</xdr:rowOff>
    </xdr:from>
    <xdr:to>
      <xdr:col>1</xdr:col>
      <xdr:colOff>2994660</xdr:colOff>
      <xdr:row>21</xdr:row>
      <xdr:rowOff>137160</xdr:rowOff>
    </xdr:to>
    <xdr:graphicFrame macro="">
      <xdr:nvGraphicFramePr>
        <xdr:cNvPr id="2" name="Chart 1">
          <a:extLst>
            <a:ext uri="{FF2B5EF4-FFF2-40B4-BE49-F238E27FC236}">
              <a16:creationId xmlns:a16="http://schemas.microsoft.com/office/drawing/2014/main" id="{FE3E4866-EFF7-48A3-90F0-CDAF59D750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2600325</xdr:colOff>
      <xdr:row>10</xdr:row>
      <xdr:rowOff>74295</xdr:rowOff>
    </xdr:from>
    <xdr:to>
      <xdr:col>1</xdr:col>
      <xdr:colOff>5133975</xdr:colOff>
      <xdr:row>21</xdr:row>
      <xdr:rowOff>175260</xdr:rowOff>
    </xdr:to>
    <xdr:graphicFrame macro="">
      <xdr:nvGraphicFramePr>
        <xdr:cNvPr id="3" name="Chart 2">
          <a:extLst>
            <a:ext uri="{FF2B5EF4-FFF2-40B4-BE49-F238E27FC236}">
              <a16:creationId xmlns:a16="http://schemas.microsoft.com/office/drawing/2014/main" id="{58CC5897-6388-4C4D-98E0-32E320F5F2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4838700</xdr:colOff>
      <xdr:row>10</xdr:row>
      <xdr:rowOff>83820</xdr:rowOff>
    </xdr:from>
    <xdr:to>
      <xdr:col>5</xdr:col>
      <xdr:colOff>247650</xdr:colOff>
      <xdr:row>22</xdr:row>
      <xdr:rowOff>3810</xdr:rowOff>
    </xdr:to>
    <xdr:graphicFrame macro="">
      <xdr:nvGraphicFramePr>
        <xdr:cNvPr id="4" name="Chart 3">
          <a:extLst>
            <a:ext uri="{FF2B5EF4-FFF2-40B4-BE49-F238E27FC236}">
              <a16:creationId xmlns:a16="http://schemas.microsoft.com/office/drawing/2014/main" id="{FB67D48D-D504-47EA-ACFE-E92F70D0C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441960</xdr:colOff>
      <xdr:row>21</xdr:row>
      <xdr:rowOff>148590</xdr:rowOff>
    </xdr:from>
    <xdr:to>
      <xdr:col>1</xdr:col>
      <xdr:colOff>2975610</xdr:colOff>
      <xdr:row>33</xdr:row>
      <xdr:rowOff>70485</xdr:rowOff>
    </xdr:to>
    <xdr:graphicFrame macro="">
      <xdr:nvGraphicFramePr>
        <xdr:cNvPr id="5" name="Chart 4">
          <a:extLst>
            <a:ext uri="{FF2B5EF4-FFF2-40B4-BE49-F238E27FC236}">
              <a16:creationId xmlns:a16="http://schemas.microsoft.com/office/drawing/2014/main" id="{97B1EC07-7FF2-4547-817F-B2E4EFE1B1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2677160</xdr:colOff>
      <xdr:row>21</xdr:row>
      <xdr:rowOff>173990</xdr:rowOff>
    </xdr:from>
    <xdr:to>
      <xdr:col>1</xdr:col>
      <xdr:colOff>5210810</xdr:colOff>
      <xdr:row>33</xdr:row>
      <xdr:rowOff>95885</xdr:rowOff>
    </xdr:to>
    <xdr:graphicFrame macro="">
      <xdr:nvGraphicFramePr>
        <xdr:cNvPr id="6" name="Chart 5">
          <a:extLst>
            <a:ext uri="{FF2B5EF4-FFF2-40B4-BE49-F238E27FC236}">
              <a16:creationId xmlns:a16="http://schemas.microsoft.com/office/drawing/2014/main" id="{351EE118-47BF-4F69-B20A-7408404BE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4826635</xdr:colOff>
      <xdr:row>22</xdr:row>
      <xdr:rowOff>2540</xdr:rowOff>
    </xdr:from>
    <xdr:to>
      <xdr:col>5</xdr:col>
      <xdr:colOff>235585</xdr:colOff>
      <xdr:row>33</xdr:row>
      <xdr:rowOff>105410</xdr:rowOff>
    </xdr:to>
    <xdr:graphicFrame macro="">
      <xdr:nvGraphicFramePr>
        <xdr:cNvPr id="7" name="Chart 6">
          <a:extLst>
            <a:ext uri="{FF2B5EF4-FFF2-40B4-BE49-F238E27FC236}">
              <a16:creationId xmlns:a16="http://schemas.microsoft.com/office/drawing/2014/main" id="{F4900894-34A2-4833-BDA2-3CB3A740F3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344805</xdr:colOff>
      <xdr:row>0</xdr:row>
      <xdr:rowOff>390525</xdr:rowOff>
    </xdr:from>
    <xdr:to>
      <xdr:col>16</xdr:col>
      <xdr:colOff>485775</xdr:colOff>
      <xdr:row>18</xdr:row>
      <xdr:rowOff>57150</xdr:rowOff>
    </xdr:to>
    <xdr:graphicFrame macro="">
      <xdr:nvGraphicFramePr>
        <xdr:cNvPr id="2" name="Chart 1">
          <a:extLst>
            <a:ext uri="{FF2B5EF4-FFF2-40B4-BE49-F238E27FC236}">
              <a16:creationId xmlns:a16="http://schemas.microsoft.com/office/drawing/2014/main" id="{CC74F74D-4617-4EB3-8CC0-3523C23985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4</xdr:row>
      <xdr:rowOff>19050</xdr:rowOff>
    </xdr:from>
    <xdr:to>
      <xdr:col>8</xdr:col>
      <xdr:colOff>501650</xdr:colOff>
      <xdr:row>6</xdr:row>
      <xdr:rowOff>76200</xdr:rowOff>
    </xdr:to>
    <xdr:pic>
      <xdr:nvPicPr>
        <xdr:cNvPr id="3" name="Picture 1">
          <a:extLst>
            <a:ext uri="{FF2B5EF4-FFF2-40B4-BE49-F238E27FC236}">
              <a16:creationId xmlns:a16="http://schemas.microsoft.com/office/drawing/2014/main" id="{28A61C0F-4B27-D80D-1C37-BB32F627ED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2950"/>
          <a:ext cx="530225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9525</xdr:rowOff>
    </xdr:from>
    <xdr:to>
      <xdr:col>11</xdr:col>
      <xdr:colOff>6288</xdr:colOff>
      <xdr:row>30</xdr:row>
      <xdr:rowOff>169935</xdr:rowOff>
    </xdr:to>
    <xdr:pic>
      <xdr:nvPicPr>
        <xdr:cNvPr id="4" name="Picture 3">
          <a:extLst>
            <a:ext uri="{FF2B5EF4-FFF2-40B4-BE49-F238E27FC236}">
              <a16:creationId xmlns:a16="http://schemas.microsoft.com/office/drawing/2014/main" id="{D702F563-3D78-177A-BAD2-56C88D2C4889}"/>
            </a:ext>
          </a:extLst>
        </xdr:cNvPr>
        <xdr:cNvPicPr>
          <a:picLocks noChangeAspect="1"/>
        </xdr:cNvPicPr>
      </xdr:nvPicPr>
      <xdr:blipFill>
        <a:blip xmlns:r="http://schemas.openxmlformats.org/officeDocument/2006/relationships" r:embed="rId2"/>
        <a:stretch>
          <a:fillRect/>
        </a:stretch>
      </xdr:blipFill>
      <xdr:spPr>
        <a:xfrm>
          <a:off x="0" y="1095375"/>
          <a:ext cx="6607113" cy="450381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xdr:from>
      <xdr:col>7</xdr:col>
      <xdr:colOff>508000</xdr:colOff>
      <xdr:row>1</xdr:row>
      <xdr:rowOff>2723</xdr:rowOff>
    </xdr:from>
    <xdr:to>
      <xdr:col>14</xdr:col>
      <xdr:colOff>462642</xdr:colOff>
      <xdr:row>14</xdr:row>
      <xdr:rowOff>72572</xdr:rowOff>
    </xdr:to>
    <xdr:graphicFrame macro="">
      <xdr:nvGraphicFramePr>
        <xdr:cNvPr id="3" name="Chart 2">
          <a:extLst>
            <a:ext uri="{FF2B5EF4-FFF2-40B4-BE49-F238E27FC236}">
              <a16:creationId xmlns:a16="http://schemas.microsoft.com/office/drawing/2014/main" id="{C55630F0-A42D-E2FC-97A7-D8000F6E97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oneCell">
    <xdr:from>
      <xdr:col>11</xdr:col>
      <xdr:colOff>283482</xdr:colOff>
      <xdr:row>1</xdr:row>
      <xdr:rowOff>148773</xdr:rowOff>
    </xdr:from>
    <xdr:to>
      <xdr:col>19</xdr:col>
      <xdr:colOff>216580</xdr:colOff>
      <xdr:row>26</xdr:row>
      <xdr:rowOff>148772</xdr:rowOff>
    </xdr:to>
    <xdr:pic>
      <xdr:nvPicPr>
        <xdr:cNvPr id="3" name="Picture 2">
          <a:extLst>
            <a:ext uri="{FF2B5EF4-FFF2-40B4-BE49-F238E27FC236}">
              <a16:creationId xmlns:a16="http://schemas.microsoft.com/office/drawing/2014/main" id="{5BB75514-9180-E009-03FC-5E74B3B6F667}"/>
            </a:ext>
          </a:extLst>
        </xdr:cNvPr>
        <xdr:cNvPicPr>
          <a:picLocks noChangeAspect="1"/>
        </xdr:cNvPicPr>
      </xdr:nvPicPr>
      <xdr:blipFill>
        <a:blip xmlns:r="http://schemas.openxmlformats.org/officeDocument/2006/relationships" r:embed="rId1"/>
        <a:stretch>
          <a:fillRect/>
        </a:stretch>
      </xdr:blipFill>
      <xdr:spPr>
        <a:xfrm>
          <a:off x="4220482" y="855211"/>
          <a:ext cx="4886098" cy="4564061"/>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134938</xdr:colOff>
      <xdr:row>2</xdr:row>
      <xdr:rowOff>55563</xdr:rowOff>
    </xdr:from>
    <xdr:to>
      <xdr:col>7</xdr:col>
      <xdr:colOff>264478</xdr:colOff>
      <xdr:row>7</xdr:row>
      <xdr:rowOff>140653</xdr:rowOff>
    </xdr:to>
    <xdr:pic>
      <xdr:nvPicPr>
        <xdr:cNvPr id="2" name="Picture 1" descr="A graph with text and numbers&#10;&#10;Description automatically generated with medium confidence">
          <a:extLst>
            <a:ext uri="{FF2B5EF4-FFF2-40B4-BE49-F238E27FC236}">
              <a16:creationId xmlns:a16="http://schemas.microsoft.com/office/drawing/2014/main" id="{37A7E754-9C91-E9ED-4180-EB6485FAA287}"/>
            </a:ext>
          </a:extLst>
        </xdr:cNvPr>
        <xdr:cNvPicPr>
          <a:picLocks noChangeAspect="1"/>
        </xdr:cNvPicPr>
      </xdr:nvPicPr>
      <xdr:blipFill>
        <a:blip xmlns:r="http://schemas.openxmlformats.org/officeDocument/2006/relationships" r:embed="rId1"/>
        <a:stretch>
          <a:fillRect/>
        </a:stretch>
      </xdr:blipFill>
      <xdr:spPr>
        <a:xfrm>
          <a:off x="134938" y="420688"/>
          <a:ext cx="4407853" cy="997903"/>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xdr:from>
      <xdr:col>7</xdr:col>
      <xdr:colOff>59531</xdr:colOff>
      <xdr:row>0</xdr:row>
      <xdr:rowOff>23813</xdr:rowOff>
    </xdr:from>
    <xdr:to>
      <xdr:col>15</xdr:col>
      <xdr:colOff>166687</xdr:colOff>
      <xdr:row>15</xdr:row>
      <xdr:rowOff>28575</xdr:rowOff>
    </xdr:to>
    <xdr:graphicFrame macro="">
      <xdr:nvGraphicFramePr>
        <xdr:cNvPr id="2" name="Chart 1">
          <a:extLst>
            <a:ext uri="{FF2B5EF4-FFF2-40B4-BE49-F238E27FC236}">
              <a16:creationId xmlns:a16="http://schemas.microsoft.com/office/drawing/2014/main" id="{4DCA4577-F3B9-4294-9AE6-3CFAE1395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7</xdr:col>
      <xdr:colOff>455083</xdr:colOff>
      <xdr:row>0</xdr:row>
      <xdr:rowOff>55562</xdr:rowOff>
    </xdr:from>
    <xdr:to>
      <xdr:col>14</xdr:col>
      <xdr:colOff>227541</xdr:colOff>
      <xdr:row>12</xdr:row>
      <xdr:rowOff>112183</xdr:rowOff>
    </xdr:to>
    <xdr:graphicFrame macro="">
      <xdr:nvGraphicFramePr>
        <xdr:cNvPr id="2" name="Chart 1">
          <a:extLst>
            <a:ext uri="{FF2B5EF4-FFF2-40B4-BE49-F238E27FC236}">
              <a16:creationId xmlns:a16="http://schemas.microsoft.com/office/drawing/2014/main" id="{DFA23E65-3946-4FED-8DF4-3D2EC00BD4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3</xdr:col>
      <xdr:colOff>603251</xdr:colOff>
      <xdr:row>0</xdr:row>
      <xdr:rowOff>150813</xdr:rowOff>
    </xdr:from>
    <xdr:to>
      <xdr:col>13</xdr:col>
      <xdr:colOff>329407</xdr:colOff>
      <xdr:row>12</xdr:row>
      <xdr:rowOff>85725</xdr:rowOff>
    </xdr:to>
    <xdr:graphicFrame macro="">
      <xdr:nvGraphicFramePr>
        <xdr:cNvPr id="5" name="Chart 4">
          <a:extLst>
            <a:ext uri="{FF2B5EF4-FFF2-40B4-BE49-F238E27FC236}">
              <a16:creationId xmlns:a16="http://schemas.microsoft.com/office/drawing/2014/main" id="{94E98285-2999-C3D5-FC57-4815F1E7B7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8</xdr:col>
      <xdr:colOff>381000</xdr:colOff>
      <xdr:row>1</xdr:row>
      <xdr:rowOff>52388</xdr:rowOff>
    </xdr:from>
    <xdr:to>
      <xdr:col>16</xdr:col>
      <xdr:colOff>504825</xdr:colOff>
      <xdr:row>15</xdr:row>
      <xdr:rowOff>177800</xdr:rowOff>
    </xdr:to>
    <xdr:graphicFrame macro="">
      <xdr:nvGraphicFramePr>
        <xdr:cNvPr id="4" name="Chart 3">
          <a:extLst>
            <a:ext uri="{FF2B5EF4-FFF2-40B4-BE49-F238E27FC236}">
              <a16:creationId xmlns:a16="http://schemas.microsoft.com/office/drawing/2014/main" id="{2B9D9EAA-8171-469A-9E0F-957DBBD93C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0.14335</cdr:x>
      <cdr:y>0.16088</cdr:y>
    </cdr:from>
    <cdr:to>
      <cdr:x>0.46827</cdr:x>
      <cdr:y>0.23488</cdr:y>
    </cdr:to>
    <cdr:sp macro="" textlink="">
      <cdr:nvSpPr>
        <cdr:cNvPr id="2" name="TextBox 1">
          <a:extLst xmlns:a="http://schemas.openxmlformats.org/drawingml/2006/main">
            <a:ext uri="{FF2B5EF4-FFF2-40B4-BE49-F238E27FC236}">
              <a16:creationId xmlns:a16="http://schemas.microsoft.com/office/drawing/2014/main" id="{CE591E45-5B0E-DBCA-F62D-99714D1532D5}"/>
            </a:ext>
          </a:extLst>
        </cdr:cNvPr>
        <cdr:cNvSpPr txBox="1"/>
      </cdr:nvSpPr>
      <cdr:spPr>
        <a:xfrm xmlns:a="http://schemas.openxmlformats.org/drawingml/2006/main">
          <a:off x="714375" y="476250"/>
          <a:ext cx="16192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9.xml><?xml version="1.0" encoding="utf-8"?>
<xdr:wsDr xmlns:xdr="http://schemas.openxmlformats.org/drawingml/2006/spreadsheetDrawing" xmlns:a="http://schemas.openxmlformats.org/drawingml/2006/main">
  <xdr:twoCellAnchor>
    <xdr:from>
      <xdr:col>7</xdr:col>
      <xdr:colOff>464343</xdr:colOff>
      <xdr:row>0</xdr:row>
      <xdr:rowOff>180182</xdr:rowOff>
    </xdr:from>
    <xdr:to>
      <xdr:col>15</xdr:col>
      <xdr:colOff>146843</xdr:colOff>
      <xdr:row>16</xdr:row>
      <xdr:rowOff>2382</xdr:rowOff>
    </xdr:to>
    <xdr:graphicFrame macro="">
      <xdr:nvGraphicFramePr>
        <xdr:cNvPr id="3" name="Chart 2">
          <a:extLst>
            <a:ext uri="{FF2B5EF4-FFF2-40B4-BE49-F238E27FC236}">
              <a16:creationId xmlns:a16="http://schemas.microsoft.com/office/drawing/2014/main" id="{BE35B9CB-B468-844A-7C3F-BDB82BC303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371928</xdr:colOff>
      <xdr:row>0</xdr:row>
      <xdr:rowOff>129720</xdr:rowOff>
    </xdr:from>
    <xdr:to>
      <xdr:col>18</xdr:col>
      <xdr:colOff>335643</xdr:colOff>
      <xdr:row>13</xdr:row>
      <xdr:rowOff>63499</xdr:rowOff>
    </xdr:to>
    <xdr:graphicFrame macro="">
      <xdr:nvGraphicFramePr>
        <xdr:cNvPr id="2" name="Chart 1">
          <a:extLst>
            <a:ext uri="{FF2B5EF4-FFF2-40B4-BE49-F238E27FC236}">
              <a16:creationId xmlns:a16="http://schemas.microsoft.com/office/drawing/2014/main" id="{D923360F-74FD-2C88-DD1A-B75FEE1B92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3</xdr:col>
      <xdr:colOff>634999</xdr:colOff>
      <xdr:row>0</xdr:row>
      <xdr:rowOff>106363</xdr:rowOff>
    </xdr:from>
    <xdr:to>
      <xdr:col>12</xdr:col>
      <xdr:colOff>187324</xdr:colOff>
      <xdr:row>12</xdr:row>
      <xdr:rowOff>165101</xdr:rowOff>
    </xdr:to>
    <xdr:graphicFrame macro="">
      <xdr:nvGraphicFramePr>
        <xdr:cNvPr id="3" name="Chart 2">
          <a:extLst>
            <a:ext uri="{FF2B5EF4-FFF2-40B4-BE49-F238E27FC236}">
              <a16:creationId xmlns:a16="http://schemas.microsoft.com/office/drawing/2014/main" id="{FA76780C-0D08-9792-3A5D-E9410B43B1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4</xdr:col>
      <xdr:colOff>527843</xdr:colOff>
      <xdr:row>1</xdr:row>
      <xdr:rowOff>127000</xdr:rowOff>
    </xdr:from>
    <xdr:to>
      <xdr:col>13</xdr:col>
      <xdr:colOff>452438</xdr:colOff>
      <xdr:row>18</xdr:row>
      <xdr:rowOff>53976</xdr:rowOff>
    </xdr:to>
    <xdr:graphicFrame macro="">
      <xdr:nvGraphicFramePr>
        <xdr:cNvPr id="5" name="Chart 4">
          <a:extLst>
            <a:ext uri="{FF2B5EF4-FFF2-40B4-BE49-F238E27FC236}">
              <a16:creationId xmlns:a16="http://schemas.microsoft.com/office/drawing/2014/main" id="{4A77984D-6E1D-FEFB-58B7-8103A1BC03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581025</xdr:colOff>
      <xdr:row>19</xdr:row>
      <xdr:rowOff>95250</xdr:rowOff>
    </xdr:from>
    <xdr:to>
      <xdr:col>16</xdr:col>
      <xdr:colOff>276225</xdr:colOff>
      <xdr:row>34</xdr:row>
      <xdr:rowOff>123825</xdr:rowOff>
    </xdr:to>
    <xdr:graphicFrame macro="">
      <xdr:nvGraphicFramePr>
        <xdr:cNvPr id="2" name="Chart 1">
          <a:extLst>
            <a:ext uri="{FF2B5EF4-FFF2-40B4-BE49-F238E27FC236}">
              <a16:creationId xmlns:a16="http://schemas.microsoft.com/office/drawing/2014/main" id="{B35E35E7-C834-4D83-837A-2D5704A0C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4</xdr:col>
      <xdr:colOff>186530</xdr:colOff>
      <xdr:row>0</xdr:row>
      <xdr:rowOff>271462</xdr:rowOff>
    </xdr:from>
    <xdr:to>
      <xdr:col>11</xdr:col>
      <xdr:colOff>480218</xdr:colOff>
      <xdr:row>12</xdr:row>
      <xdr:rowOff>157162</xdr:rowOff>
    </xdr:to>
    <xdr:graphicFrame macro="">
      <xdr:nvGraphicFramePr>
        <xdr:cNvPr id="3" name="Chart 2">
          <a:extLst>
            <a:ext uri="{FF2B5EF4-FFF2-40B4-BE49-F238E27FC236}">
              <a16:creationId xmlns:a16="http://schemas.microsoft.com/office/drawing/2014/main" id="{8FDC646E-8F74-8A3F-1069-17EB329013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3</xdr:col>
      <xdr:colOff>15875</xdr:colOff>
      <xdr:row>0</xdr:row>
      <xdr:rowOff>82550</xdr:rowOff>
    </xdr:from>
    <xdr:to>
      <xdr:col>7</xdr:col>
      <xdr:colOff>461962</xdr:colOff>
      <xdr:row>10</xdr:row>
      <xdr:rowOff>76200</xdr:rowOff>
    </xdr:to>
    <xdr:graphicFrame macro="">
      <xdr:nvGraphicFramePr>
        <xdr:cNvPr id="2" name="Chart 1">
          <a:extLst>
            <a:ext uri="{FF2B5EF4-FFF2-40B4-BE49-F238E27FC236}">
              <a16:creationId xmlns:a16="http://schemas.microsoft.com/office/drawing/2014/main" id="{AB86A526-83D2-41EE-8E9B-0410048630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4</xdr:col>
      <xdr:colOff>365125</xdr:colOff>
      <xdr:row>1</xdr:row>
      <xdr:rowOff>13495</xdr:rowOff>
    </xdr:from>
    <xdr:to>
      <xdr:col>12</xdr:col>
      <xdr:colOff>559593</xdr:colOff>
      <xdr:row>11</xdr:row>
      <xdr:rowOff>134938</xdr:rowOff>
    </xdr:to>
    <xdr:graphicFrame macro="">
      <xdr:nvGraphicFramePr>
        <xdr:cNvPr id="2" name="Chart 1">
          <a:extLst>
            <a:ext uri="{FF2B5EF4-FFF2-40B4-BE49-F238E27FC236}">
              <a16:creationId xmlns:a16="http://schemas.microsoft.com/office/drawing/2014/main" id="{D6CAC184-D62D-53BE-BD3E-46B4F34B74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556260</xdr:colOff>
      <xdr:row>6</xdr:row>
      <xdr:rowOff>9525</xdr:rowOff>
    </xdr:from>
    <xdr:to>
      <xdr:col>5</xdr:col>
      <xdr:colOff>676275</xdr:colOff>
      <xdr:row>21</xdr:row>
      <xdr:rowOff>123825</xdr:rowOff>
    </xdr:to>
    <xdr:graphicFrame macro="">
      <xdr:nvGraphicFramePr>
        <xdr:cNvPr id="2" name="Chart 1">
          <a:extLst>
            <a:ext uri="{FF2B5EF4-FFF2-40B4-BE49-F238E27FC236}">
              <a16:creationId xmlns:a16="http://schemas.microsoft.com/office/drawing/2014/main" id="{94091BE9-2707-4F60-B5AA-6413A61D4D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122463</xdr:colOff>
      <xdr:row>1</xdr:row>
      <xdr:rowOff>161471</xdr:rowOff>
    </xdr:from>
    <xdr:to>
      <xdr:col>17</xdr:col>
      <xdr:colOff>99785</xdr:colOff>
      <xdr:row>19</xdr:row>
      <xdr:rowOff>167822</xdr:rowOff>
    </xdr:to>
    <xdr:graphicFrame macro="">
      <xdr:nvGraphicFramePr>
        <xdr:cNvPr id="4" name="Chart 3">
          <a:extLst>
            <a:ext uri="{FF2B5EF4-FFF2-40B4-BE49-F238E27FC236}">
              <a16:creationId xmlns:a16="http://schemas.microsoft.com/office/drawing/2014/main" id="{37B44DE6-2B9C-653E-83D6-6BBA8BE004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84726</xdr:colOff>
      <xdr:row>0</xdr:row>
      <xdr:rowOff>45903</xdr:rowOff>
    </xdr:from>
    <xdr:to>
      <xdr:col>14</xdr:col>
      <xdr:colOff>128267</xdr:colOff>
      <xdr:row>1</xdr:row>
      <xdr:rowOff>156071</xdr:rowOff>
    </xdr:to>
    <xdr:sp macro="" textlink="">
      <xdr:nvSpPr>
        <xdr:cNvPr id="2" name="TextBox 1">
          <a:hlinkClick xmlns:r="http://schemas.openxmlformats.org/officeDocument/2006/relationships" r:id="rId1"/>
          <a:extLst>
            <a:ext uri="{FF2B5EF4-FFF2-40B4-BE49-F238E27FC236}">
              <a16:creationId xmlns:a16="http://schemas.microsoft.com/office/drawing/2014/main" id="{A696CBB6-76B2-419F-AD38-AA6DA607CCF8}"/>
            </a:ext>
          </a:extLst>
        </xdr:cNvPr>
        <xdr:cNvSpPr txBox="1"/>
      </xdr:nvSpPr>
      <xdr:spPr>
        <a:xfrm>
          <a:off x="6813186" y="45903"/>
          <a:ext cx="5529941" cy="308288"/>
        </a:xfrm>
        <a:prstGeom prst="rect">
          <a:avLst/>
        </a:prstGeom>
        <a:no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Source: </a:t>
          </a:r>
          <a:r>
            <a:rPr lang="en-US" sz="1100" u="sng">
              <a:solidFill>
                <a:schemeClr val="accent5">
                  <a:lumMod val="75000"/>
                </a:schemeClr>
              </a:solidFill>
            </a:rPr>
            <a:t>ESCWA Survey of Economic and Social Developments in the Arab Region 2022-2023</a:t>
          </a: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NEDA\Desktop\Prefinal\Prefinal\Prefinal_R_after%20sending\vf%2016%20oct\Section%201_16Oct24.xlsx" TargetMode="External"/><Relationship Id="rId2" Type="http://schemas.microsoft.com/office/2019/04/relationships/externalLinkLongPath" Target="https://unitednations-my.sharepoint.com/personal/rabih_elhabta_un_org/Documents/Desktop/OneDrive/1-WRK/5-Interns%20+%20adhoc%20+%20RPTC/adhoc/Cluster%20IV-Statistics%20Information%20Society%20n%20Technology/UN-Women/vf%2016%20oct/data%20vf/vf%2016%20oct/Section%201_16Oct24.xlsx?A8B3B629" TargetMode="External"/><Relationship Id="rId1" Type="http://schemas.openxmlformats.org/officeDocument/2006/relationships/externalLinkPath" Target="file:///\\A8B3B629\Section%201_16Oct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10025923\AppData\Local\Microsoft\Windows\INetCache\Content.Outlook\Y3E51275\SDG%205.1.1.xlsx" TargetMode="External"/><Relationship Id="rId1" Type="http://schemas.openxmlformats.org/officeDocument/2006/relationships/externalLinkPath" Target="https://unitednations-my.sharepoint.com/Users/10025923/AppData/Local/Microsoft/Windows/INetCache/Content.Outlook/Y3E51275/SDG%205.1.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NEDA\Desktop\ilo_LF%20Participation%20by%20sex%20and%20location_estimated.xlsx" TargetMode="External"/><Relationship Id="rId1" Type="http://schemas.openxmlformats.org/officeDocument/2006/relationships/externalLinkPath" Target="https://unitednations-my.sharepoint.com/Users/NEDA/Desktop/ilo_LF%20Participation%20by%20sex%20and%20location_estim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TEM"/>
      <sheetName val="Political participation"/>
      <sheetName val="eco_ind"/>
      <sheetName val="eco_ind (Rabih)"/>
      <sheetName val="LFPR &amp; Unemployment"/>
      <sheetName val="Managers"/>
      <sheetName val="Female ownership"/>
      <sheetName val="Status in employment"/>
      <sheetName val="Organized learning"/>
      <sheetName val="Children&lt;6"/>
      <sheetName val="Leave"/>
      <sheetName val="ILO convention"/>
      <sheetName val="Sheet1"/>
      <sheetName val="Sheet2"/>
    </sheetNames>
    <sheetDataSet>
      <sheetData sheetId="0"/>
      <sheetData sheetId="1"/>
      <sheetData sheetId="2"/>
      <sheetData sheetId="3"/>
      <sheetData sheetId="4"/>
      <sheetData sheetId="5">
        <row r="2">
          <cell r="B2" t="str">
            <v>Female workers across all economic activity (%)</v>
          </cell>
          <cell r="C2" t="str">
            <v>Male workers across all economic activity (%)</v>
          </cell>
          <cell r="D2" t="str">
            <v>Share of female managers (%)</v>
          </cell>
          <cell r="E2" t="str">
            <v>Share of male managers (%)</v>
          </cell>
        </row>
        <row r="3">
          <cell r="A3" t="str">
            <v>Algeria, 2017</v>
          </cell>
          <cell r="B3">
            <v>18.099873138228677</v>
          </cell>
          <cell r="C3">
            <v>81.900136071337286</v>
          </cell>
          <cell r="D3">
            <v>1.4649418368582643</v>
          </cell>
          <cell r="E3">
            <v>3.5466215792254134</v>
          </cell>
        </row>
        <row r="4">
          <cell r="A4" t="str">
            <v>Bahrain, 2015</v>
          </cell>
          <cell r="B4">
            <v>20.980641070451743</v>
          </cell>
          <cell r="C4">
            <v>79.019358929548261</v>
          </cell>
          <cell r="D4">
            <v>8.3209988171250568</v>
          </cell>
          <cell r="E4">
            <v>8.03702388234443</v>
          </cell>
        </row>
        <row r="5">
          <cell r="A5" t="str">
            <v>Comoros, 2021</v>
          </cell>
          <cell r="B5">
            <v>43.458890550342694</v>
          </cell>
          <cell r="C5">
            <v>56.541109449657313</v>
          </cell>
          <cell r="D5">
            <v>0.72264432985131388</v>
          </cell>
          <cell r="E5">
            <v>0.53096743490380038</v>
          </cell>
        </row>
        <row r="6">
          <cell r="A6" t="str">
            <v>Djibouti, 2017</v>
          </cell>
          <cell r="B6">
            <v>25.026893092403458</v>
          </cell>
          <cell r="C6">
            <v>74.971898229286268</v>
          </cell>
          <cell r="D6">
            <v>2.0428861199652273</v>
          </cell>
          <cell r="E6">
            <v>4.8590958921777263</v>
          </cell>
        </row>
        <row r="7">
          <cell r="A7" t="str">
            <v>Egypt, 2022</v>
          </cell>
          <cell r="B7">
            <v>14.979305764610801</v>
          </cell>
          <cell r="C7">
            <v>85.0206942353892</v>
          </cell>
          <cell r="D7">
            <v>3.1579206088574403</v>
          </cell>
          <cell r="E7">
            <v>3.4286158489793093</v>
          </cell>
        </row>
        <row r="8">
          <cell r="A8" t="str">
            <v>Iraq, 2021</v>
          </cell>
          <cell r="B8">
            <v>11.544650480737474</v>
          </cell>
          <cell r="C8">
            <v>88.455337991753453</v>
          </cell>
          <cell r="D8">
            <v>0.93371157089408052</v>
          </cell>
          <cell r="E8">
            <v>0.69043592466611658</v>
          </cell>
        </row>
        <row r="9">
          <cell r="A9" t="str">
            <v>Jordan, 2022</v>
          </cell>
          <cell r="B9">
            <v>14.967027748134489</v>
          </cell>
          <cell r="C9">
            <v>85.032931936096276</v>
          </cell>
          <cell r="D9">
            <v>0.91745343371627908</v>
          </cell>
          <cell r="E9">
            <v>0.17874304288932205</v>
          </cell>
        </row>
        <row r="10">
          <cell r="A10" t="str">
            <v>Kuwait, 2016</v>
          </cell>
          <cell r="B10">
            <v>24.008593934588383</v>
          </cell>
          <cell r="C10">
            <v>75.99140606541161</v>
          </cell>
          <cell r="D10">
            <v>2.6687972564764206</v>
          </cell>
          <cell r="E10">
            <v>5.3508952676264459</v>
          </cell>
        </row>
        <row r="11">
          <cell r="A11" t="str">
            <v>Lebanon, 2019</v>
          </cell>
          <cell r="B11">
            <v>30.490655011428448</v>
          </cell>
          <cell r="C11">
            <v>69.50934498857157</v>
          </cell>
          <cell r="D11">
            <v>4.7534530557177996</v>
          </cell>
          <cell r="E11">
            <v>7.7476230729050606</v>
          </cell>
        </row>
        <row r="12">
          <cell r="A12" t="str">
            <v>Morocco, 2022</v>
          </cell>
          <cell r="B12">
            <v>21.273629308017345</v>
          </cell>
          <cell r="C12">
            <v>78.726370691982666</v>
          </cell>
          <cell r="D12">
            <v>0.33857804219499332</v>
          </cell>
          <cell r="E12">
            <v>0.64747104703379821</v>
          </cell>
        </row>
        <row r="13">
          <cell r="A13" t="str">
            <v>Palestine, 2022</v>
          </cell>
          <cell r="B13">
            <v>16.084485517950487</v>
          </cell>
          <cell r="C13">
            <v>83.915602513473203</v>
          </cell>
          <cell r="D13">
            <v>3.5372414661244687</v>
          </cell>
          <cell r="E13">
            <v>2.7406356806113008</v>
          </cell>
        </row>
        <row r="14">
          <cell r="A14" t="str">
            <v>Oman, 2022</v>
          </cell>
          <cell r="B14">
            <v>16.068535407533872</v>
          </cell>
          <cell r="C14">
            <v>83.931464592466142</v>
          </cell>
          <cell r="D14">
            <v>13.671265409341398</v>
          </cell>
          <cell r="E14">
            <v>6.0355071182043707</v>
          </cell>
        </row>
        <row r="15">
          <cell r="A15" t="str">
            <v>Qatar, 2022</v>
          </cell>
          <cell r="B15">
            <v>16.621610090511997</v>
          </cell>
          <cell r="C15">
            <v>83.378389909488007</v>
          </cell>
          <cell r="D15">
            <v>2.3081533912474868</v>
          </cell>
          <cell r="E15">
            <v>2.879782008123239</v>
          </cell>
        </row>
        <row r="16">
          <cell r="A16" t="str">
            <v>Somalia, 2019</v>
          </cell>
          <cell r="B16">
            <v>31.045943700220906</v>
          </cell>
          <cell r="C16">
            <v>68.954056299779097</v>
          </cell>
          <cell r="D16">
            <v>10.300311782131745</v>
          </cell>
          <cell r="E16">
            <v>11.139475776202792</v>
          </cell>
        </row>
        <row r="17">
          <cell r="A17" t="str">
            <v>Sudan, 2022</v>
          </cell>
          <cell r="B17">
            <v>17.863567284039348</v>
          </cell>
          <cell r="C17">
            <v>82.136432715960666</v>
          </cell>
          <cell r="D17">
            <v>1.6959470191144761</v>
          </cell>
          <cell r="E17">
            <v>1.1528677068412516</v>
          </cell>
        </row>
        <row r="18">
          <cell r="A18" t="str">
            <v>Tunisia, 2019</v>
          </cell>
          <cell r="B18">
            <v>26.579827016911995</v>
          </cell>
          <cell r="C18">
            <v>73.420172983088008</v>
          </cell>
          <cell r="D18">
            <v>3.7493584788335284</v>
          </cell>
          <cell r="E18">
            <v>4.9398377556389459</v>
          </cell>
        </row>
        <row r="19">
          <cell r="A19" t="str">
            <v>United Arab Emirates, 2023</v>
          </cell>
          <cell r="B19">
            <v>23.093175839834363</v>
          </cell>
          <cell r="C19">
            <v>76.906824160165627</v>
          </cell>
          <cell r="D19">
            <v>11.705887619715339</v>
          </cell>
          <cell r="E19">
            <v>10.744474001228213</v>
          </cell>
        </row>
        <row r="20">
          <cell r="A20" t="str">
            <v>Yemen, 2010</v>
          </cell>
          <cell r="B20">
            <v>7.0288144292103532</v>
          </cell>
          <cell r="C20">
            <v>7.5602073761429116</v>
          </cell>
          <cell r="D20">
            <v>1.9269953198561882</v>
          </cell>
          <cell r="E20">
            <v>2.4295878501680557</v>
          </cell>
        </row>
        <row r="21">
          <cell r="A21" t="str">
            <v xml:space="preserve">Regional average </v>
          </cell>
          <cell r="B21">
            <v>21.067562188064269</v>
          </cell>
          <cell r="C21">
            <v>74.187318841088739</v>
          </cell>
          <cell r="D21">
            <v>4.1231414198900831</v>
          </cell>
          <cell r="E21">
            <v>4.282203382764977</v>
          </cell>
        </row>
        <row r="22">
          <cell r="A22" t="str">
            <v>OECD average</v>
          </cell>
          <cell r="B22">
            <v>44.539673030080209</v>
          </cell>
          <cell r="C22">
            <v>55.46033104502758</v>
          </cell>
          <cell r="D22">
            <v>5.4742379138204225</v>
          </cell>
          <cell r="E22">
            <v>7.9967277191835509</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DG 5.1.1"/>
    </sheetNames>
    <sheetDataSet>
      <sheetData sheetId="0">
        <row r="1">
          <cell r="B1" t="str">
            <v>count of countries</v>
          </cell>
          <cell r="C1" t="str">
            <v>percent</v>
          </cell>
        </row>
        <row r="2">
          <cell r="A2">
            <v>2018</v>
          </cell>
          <cell r="B2">
            <v>5</v>
          </cell>
          <cell r="C2">
            <v>22.7</v>
          </cell>
        </row>
        <row r="3">
          <cell r="A3">
            <v>2020</v>
          </cell>
          <cell r="B3">
            <v>6</v>
          </cell>
          <cell r="C3">
            <v>27.3</v>
          </cell>
        </row>
        <row r="4">
          <cell r="A4">
            <v>2022</v>
          </cell>
          <cell r="B4">
            <v>8</v>
          </cell>
          <cell r="C4">
            <v>36.4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AP_2WAP_SEX_AGE_GEO_RT_EN"/>
      <sheetName val="Numbers in thousands"/>
    </sheetNames>
    <sheetDataSet>
      <sheetData sheetId="0">
        <row r="152">
          <cell r="K152" t="str">
            <v>Female</v>
          </cell>
          <cell r="L152">
            <v>0.184</v>
          </cell>
        </row>
        <row r="153">
          <cell r="K153" t="str">
            <v>Male</v>
          </cell>
          <cell r="L153">
            <v>0.70700000000000007</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0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hyperlink" Target="https://www.unescwa.org/portal/arab-sdg-monitor" TargetMode="External"/></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hyperlink" Target="https://odin.opendatawatch.com/annualreport/2022/2022_figure_18.xlsx" TargetMode="External"/></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hyperlink" Target="../../../../../../AppData/Local/NEDA/AppData/Local/Microsoft/Windows/INetCache/Content.Outlook/M4FJ3SU5/ESCWA%20Handbook%20on%20the%20Gender%20Indicator%20Framework%202023" TargetMode="External"/></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hyperlink" Target="https://www.unescwa.org/portal/arab-sdg-monitor" TargetMode="External"/></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hyperlink" Target="https://www.unescwa.org/portal/arab-sdg-monitor" TargetMode="External"/></Relationships>
</file>

<file path=xl/worksheets/_rels/sheet107.xml.rels><?xml version="1.0" encoding="UTF-8" standalone="yes"?>
<Relationships xmlns="http://schemas.openxmlformats.org/package/2006/relationships"><Relationship Id="rId1" Type="http://schemas.openxmlformats.org/officeDocument/2006/relationships/hyperlink" Target="https://odin.opendatawatch.com/Report/biennialReport202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genderdata.worldbank.org/en/indicator/sg-leg-sxhr-em" TargetMode="External"/><Relationship Id="rId1" Type="http://schemas.openxmlformats.org/officeDocument/2006/relationships/hyperlink" Target="https://normlex.ilo.org/dyn/normlex/en/f?p=NORMLEXPUB:1:3526778322627" TargetMode="External"/></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hyperlink" Target="http://elibrary.arabwomenorg.org/Content/21951_Gender%20Equality%20in%20the%20Agricultural%20Sector%20in%20the%20Arab%20Region%20(Desk%20Review).pdf" TargetMode="Externa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hyperlink" Target="https://www.enterprisesurveys.org/en/enterprisesurveys" TargetMode="Externa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unstats.un.org/sdgs/dataportal"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data.unhabitat.org/pages/datasets" TargetMode="External"/><Relationship Id="rId2" Type="http://schemas.openxmlformats.org/officeDocument/2006/relationships/hyperlink" Target="https://ilostat.ilo.org/data/" TargetMode="External"/><Relationship Id="rId1" Type="http://schemas.openxmlformats.org/officeDocument/2006/relationships/hyperlink" Target="https://ilostat.ilo.org/data/" TargetMode="External"/><Relationship Id="rId6" Type="http://schemas.openxmlformats.org/officeDocument/2006/relationships/drawing" Target="../drawings/drawing13.xml"/><Relationship Id="rId5" Type="http://schemas.openxmlformats.org/officeDocument/2006/relationships/hyperlink" Target="https://data.uis.unesco.org/" TargetMode="External"/><Relationship Id="rId4" Type="http://schemas.openxmlformats.org/officeDocument/2006/relationships/hyperlink" Target="https://www.fao.org/faostat/e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data.uis.unesco.org/" TargetMode="External"/><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s://www.fao.org/faostat/en/"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www.who.int/data/gho/data/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unwomen.org/en/digital-library/publications/2024/06/poster-women-political-leaders-2024" TargetMode="External"/><Relationship Id="rId1" Type="http://schemas.openxmlformats.org/officeDocument/2006/relationships/hyperlink" Target="https://data.ipu.org/women-ranking/?date_month=1&amp;date_year=2024" TargetMode="External"/></Relationships>
</file>

<file path=xl/worksheets/_rels/sheet31.xml.rels><?xml version="1.0" encoding="UTF-8" standalone="yes"?>
<Relationships xmlns="http://schemas.openxmlformats.org/package/2006/relationships"><Relationship Id="rId1" Type="http://schemas.openxmlformats.org/officeDocument/2006/relationships/hyperlink" Target="https://www.who.int/data/gho/data/indicators/indicator-details/GHO/household-air-pollution-attributable-deaths" TargetMode="External"/></Relationships>
</file>

<file path=xl/worksheets/_rels/sheet3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bin"/><Relationship Id="rId1" Type="http://schemas.openxmlformats.org/officeDocument/2006/relationships/hyperlink" Target="https://unstats.un.org/sdgs/dataportal" TargetMode="Externa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unstats.un.org/sdgs/dataporta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s://data.uis.unesco.org/" TargetMode="Externa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databank.worldbank.org/source/world-development-indicators" TargetMode="Externa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ilostat.ilo.org/data/" TargetMode="External"/></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s://www.who.int/data/gho/data/indicators" TargetMode="Externa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hyperlink" Target="https://datatopics.worldbank.org/sdgatlas/goal-5-gender-equality/?lang=en" TargetMode="Externa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hyperlink" Target="https://unstats.un.org/sdgs/dataportal" TargetMode="External"/></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hyperlink" Target="https://unstats.un.org/sdgs/dataportal" TargetMode="External"/></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terprisesurveys.org/en/enterprisesurveys" TargetMode="External"/></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hyperlink" Target="https://ilostat.ilo.org/data/" TargetMode="External"/></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hyperlink" Target="https://ilostat.ilo.org/data/" TargetMode="External"/></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hyperlink" Target="https://ilostat.ilo.org/data/" TargetMode="External"/></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hyperlink" Target="https://databank.worldbank.org/source/world-development-indicator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ilostat.ilo.org/data/" TargetMode="External"/></Relationships>
</file>

<file path=xl/worksheets/_rels/sheet80.xml.rels><?xml version="1.0" encoding="UTF-8" standalone="yes"?>
<Relationships xmlns="http://schemas.openxmlformats.org/package/2006/relationships"><Relationship Id="rId1" Type="http://schemas.openxmlformats.org/officeDocument/2006/relationships/hyperlink" Target="https://databrowser.uis.unesco.org/view" TargetMode="External"/></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hyperlink" Target="https://unstats.un.org/sdgs/dataportal" TargetMode="External"/></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hyperlink" Target="https://ilostat.ilo.org/data/" TargetMode="External"/></Relationships>
</file>

<file path=xl/worksheets/_rels/sheet85.xml.rels><?xml version="1.0" encoding="UTF-8" standalone="yes"?>
<Relationships xmlns="http://schemas.openxmlformats.org/package/2006/relationships"><Relationship Id="rId3" Type="http://schemas.openxmlformats.org/officeDocument/2006/relationships/hyperlink" Target="https://databank.worldbank.org/source/world-development-indicators" TargetMode="External"/><Relationship Id="rId2" Type="http://schemas.openxmlformats.org/officeDocument/2006/relationships/hyperlink" Target="https://data.uis.unesco.org/" TargetMode="External"/><Relationship Id="rId1" Type="http://schemas.openxmlformats.org/officeDocument/2006/relationships/hyperlink" Target="https://www3.wipo.int/ipstats/pmh-search/search-result?type=PMH&amp;selectedTab=pct&amp;indicator=1042&amp;reportType=4001&amp;fromYear=2022&amp;toYear=2024&amp;pmhOffSelValues=&amp;pmhOriSelValues=DZ,BH,KM,DJ,EG,IQ,JO,KW,LB,LY,MR,MA,OM,QA,SA,SO,SD,SY,TN,AE,YE&amp;pmhClassSelValues=" TargetMode="Externa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hyperlink" Target="https://ilostat.ilo.org/data/"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genderdata.worldbank.org/en/indicator/sg-leg-sxhr-em" TargetMode="External"/><Relationship Id="rId1" Type="http://schemas.openxmlformats.org/officeDocument/2006/relationships/hyperlink" Target="https://normlex.ilo.org/dyn/normlex/en/f?p=NORMLEXPUB:1:3526778322627" TargetMode="External"/></Relationships>
</file>

<file path=xl/worksheets/_rels/sheet9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hyperlink" Target="https://www.undp.org/sites/g/files/zskgke326/files/migration/arabstates/Chart.19.Eng.pdf" TargetMode="External"/><Relationship Id="rId1" Type="http://schemas.openxmlformats.org/officeDocument/2006/relationships/hyperlink" Target="https://www.warnathgroup.com/laws/" TargetMode="External"/></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hyperlink" Target="http://elibrary.arabwomenorg.org/Content/21951_Gender%20Equality%20in%20the%20Agricultural%20Sector%20in%20the%20Arab%20Region%20(Desk%20Review).pdf" TargetMode="External"/></Relationships>
</file>

<file path=xl/worksheets/_rels/sheet95.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printerSettings" Target="../printerSettings/printerSettings8.bin"/><Relationship Id="rId1" Type="http://schemas.openxmlformats.org/officeDocument/2006/relationships/hyperlink" Target="https://www.ochaopt.org/content/reported-impact-snapshot-gaza-strip-24-december-2024" TargetMode="External"/></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hyperlink" Target="https://dataunodc.un.org/dp-trafficking-persons" TargetMode="Externa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646CC-AF80-4DFF-8E98-E64A063DE2EA}">
  <sheetPr codeName="Sheet1">
    <tabColor theme="8" tint="0.39997558519241921"/>
  </sheetPr>
  <dimension ref="B1:B116"/>
  <sheetViews>
    <sheetView showGridLines="0" zoomScale="80" zoomScaleNormal="80" workbookViewId="0">
      <pane xSplit="1" ySplit="1" topLeftCell="B2" activePane="bottomRight" state="frozen"/>
      <selection pane="topRight" activeCell="B1" sqref="B1"/>
      <selection pane="bottomLeft" activeCell="A2" sqref="A2"/>
      <selection pane="bottomRight" activeCell="B11" sqref="B11"/>
    </sheetView>
  </sheetViews>
  <sheetFormatPr defaultRowHeight="14.5"/>
  <cols>
    <col min="1" max="1" width="7.54296875" customWidth="1"/>
    <col min="2" max="2" width="27.81640625" bestFit="1" customWidth="1"/>
  </cols>
  <sheetData>
    <row r="1" spans="2:2">
      <c r="B1" s="350" t="s">
        <v>0</v>
      </c>
    </row>
    <row r="2" spans="2:2">
      <c r="B2" s="385" t="str">
        <f>HYPERLINK("#'Section I_Fig1'!A1","Section I_Fig1")</f>
        <v>Section I_Fig1</v>
      </c>
    </row>
    <row r="3" spans="2:2">
      <c r="B3" s="143" t="str">
        <f>HYPERLINK("#'Section I_Fig2'!A1","Section I_Fig2")</f>
        <v>Section I_Fig2</v>
      </c>
    </row>
    <row r="4" spans="2:2">
      <c r="B4" s="143" t="str">
        <f>HYPERLINK("#'Section I_Fig3'!A1","Section I_Fig3")</f>
        <v>Section I_Fig3</v>
      </c>
    </row>
    <row r="5" spans="2:2">
      <c r="B5" s="143" t="str">
        <f>HYPERLINK("#'Section I_Fig4'!A1","Section I_Fig4")</f>
        <v>Section I_Fig4</v>
      </c>
    </row>
    <row r="6" spans="2:2">
      <c r="B6" s="143" t="str">
        <f>HYPERLINK("#'Section I_Fig5'!A1","Section I_Fig5")</f>
        <v>Section I_Fig5</v>
      </c>
    </row>
    <row r="7" spans="2:2">
      <c r="B7" s="143" t="str">
        <f>HYPERLINK("#'Section I_Fig6'!A1","Section I_Fig6")</f>
        <v>Section I_Fig6</v>
      </c>
    </row>
    <row r="8" spans="2:2">
      <c r="B8" s="143" t="str">
        <f>HYPERLINK("#'Section I_Fig7'!A1","Section I_Fig7")</f>
        <v>Section I_Fig7</v>
      </c>
    </row>
    <row r="9" spans="2:2">
      <c r="B9" s="143" t="str">
        <f>HYPERLINK("#'Section I_Fig8'!A1","Section I_Fig8")</f>
        <v>Section I_Fig8</v>
      </c>
    </row>
    <row r="10" spans="2:2">
      <c r="B10" s="143" t="str">
        <f>HYPERLINK("#'Maternity &amp; Paternity leave'!A1","Maternity &amp; Paternity leave")</f>
        <v>Maternity &amp; Paternity leave</v>
      </c>
    </row>
    <row r="11" spans="2:2">
      <c r="B11" s="143" t="str">
        <f>HYPERLINK("#'ILO Conventions'!A1","ILO Conventions")</f>
        <v>ILO Conventions</v>
      </c>
    </row>
    <row r="12" spans="2:2">
      <c r="B12" s="143" t="str">
        <f>HYPERLINK("#'G1_National Poverty'!A1","G1_National Poverty")</f>
        <v>G1_National Poverty</v>
      </c>
    </row>
    <row r="13" spans="2:2">
      <c r="B13" s="143" t="str">
        <f>HYPERLINK("#'G1_Extreme Poverty'!A1","G1_Extreme Poverty")</f>
        <v>G1_Extreme Poverty</v>
      </c>
    </row>
    <row r="14" spans="2:2">
      <c r="B14" s="143" t="str">
        <f>HYPERLINK("#'G1_Social Protection Benefits'!A1","G1_Social Protection Benefits")</f>
        <v>G1_Social Protection Benefits</v>
      </c>
    </row>
    <row r="15" spans="2:2">
      <c r="B15" s="143" t="str">
        <f>HYPERLINK("#'G1_Adult &amp; Youth Illiteracy'!A1","G1_Adult &amp; Youth Illiteracy")</f>
        <v>G1_Adult &amp; Youth Illiteracy</v>
      </c>
    </row>
    <row r="16" spans="2:2">
      <c r="B16" s="143" t="str">
        <f>HYPERLINK("#'G1_Vulnerable Employment'!A1","G1_Vulnerable Employment")</f>
        <v>G1_Vulnerable Employment</v>
      </c>
    </row>
    <row r="17" spans="2:2">
      <c r="B17" s="143" t="str">
        <f>HYPERLINK("#'G1_Fig9'!A1","G1_Fig9")</f>
        <v>G1_Fig9</v>
      </c>
    </row>
    <row r="18" spans="2:2">
      <c r="B18" s="143" t="str">
        <f>HYPERLINK("#'G1_Fig10'!A1","G1_Fig10")</f>
        <v>G1_Fig10</v>
      </c>
    </row>
    <row r="19" spans="2:2">
      <c r="B19" s="143" t="str">
        <f>HYPERLINK("#'G1_Fig11'!A1","G1_Fig11")</f>
        <v>G1_Fig11</v>
      </c>
    </row>
    <row r="20" spans="2:2">
      <c r="B20" s="143" t="str">
        <f>HYPERLINK("#'G2_2.1.1'!A1","G2_2.1.1")</f>
        <v>G2_2.1.1</v>
      </c>
    </row>
    <row r="21" spans="2:2">
      <c r="B21" s="143" t="str">
        <f>HYPERLINK("#'G2_2.1.2'!A1","G2_2.1.2")</f>
        <v>G2_2.1.2</v>
      </c>
    </row>
    <row r="22" spans="2:2">
      <c r="B22" s="143" t="str">
        <f>HYPERLINK("#'G2_2.2.3'!A1","G2_2.2.3")</f>
        <v>G2_2.2.3</v>
      </c>
    </row>
    <row r="23" spans="2:2">
      <c r="B23" s="143" t="str">
        <f>HYPERLINK("#'G2_Healthy diet'!A1","G2_Healthy diet")</f>
        <v>G2_Healthy diet</v>
      </c>
    </row>
    <row r="24" spans="2:2">
      <c r="B24" s="143" t="str">
        <f>HYPERLINK("#'G2_Exclusive Breast Feeding'!A1","G2_Exclusive Breast Feeding")</f>
        <v>G2_Exclusive Breast Feeding</v>
      </c>
    </row>
    <row r="25" spans="2:2">
      <c r="B25" s="143" t="str">
        <f>HYPERLINK("#'G2_Fig12'!A1","G2_Fig12")</f>
        <v>G2_Fig12</v>
      </c>
    </row>
    <row r="26" spans="2:2">
      <c r="B26" s="143" t="str">
        <f>HYPERLINK("#'G2_Fig13'!A1","G2_Fig13")</f>
        <v>G2_Fig13</v>
      </c>
    </row>
    <row r="27" spans="2:2">
      <c r="B27" s="143" t="str">
        <f>HYPERLINK("#'G3_3.1.1'!A1","G3_3.1.1")</f>
        <v>G3_3.1.1</v>
      </c>
    </row>
    <row r="28" spans="2:2">
      <c r="B28" s="143" t="str">
        <f>HYPERLINK("#'G3_3.1.2'!A1","G3_3.1.2")</f>
        <v>G3_3.1.2</v>
      </c>
    </row>
    <row r="29" spans="2:2">
      <c r="B29" s="143" t="str">
        <f>HYPERLINK("#'G3_3.7.1'!A1","G3_3.7.1")</f>
        <v>G3_3.7.1</v>
      </c>
    </row>
    <row r="30" spans="2:2">
      <c r="B30" s="143" t="str">
        <f>HYPERLINK("#'G3_3.7.2'!A1","G3_3.7.2")</f>
        <v>G3_3.7.2</v>
      </c>
    </row>
    <row r="31" spans="2:2">
      <c r="B31" s="143" t="str">
        <f>HYPERLINK("#'G3_3.9.1'!A1","G3_3.9.1")</f>
        <v>G3_3.9.1</v>
      </c>
    </row>
    <row r="32" spans="2:2">
      <c r="B32" s="143" t="str">
        <f>HYPERLINK("#'G3_3.9.2_Wash Deaths'!A1","G3_3.9.2_Wash Deaths")</f>
        <v>G3_3.9.2_Wash Deaths</v>
      </c>
    </row>
    <row r="33" spans="2:2">
      <c r="B33" s="143" t="str">
        <f>HYPERLINK("#'G3_UNICEF Data_NJ'!A1","G3_UNICEF Data_NJ")</f>
        <v>G3_UNICEF Data_NJ</v>
      </c>
    </row>
    <row r="34" spans="2:2">
      <c r="B34" s="143" t="str">
        <f>HYPERLINK("#'G2_Fig14'!A1","G2_Fig14")</f>
        <v>G2_Fig14</v>
      </c>
    </row>
    <row r="35" spans="2:2">
      <c r="B35" s="143" t="str">
        <f>HYPERLINK("#'G2_Fig15'!A1","G2_Fig15")</f>
        <v>G2_Fig15</v>
      </c>
    </row>
    <row r="36" spans="2:2">
      <c r="B36" s="143" t="str">
        <f>HYPERLINK("#'G4_4.1.1 Minimum Proficiency'!A1","G4_4.1.1 Minimum Proficiency")</f>
        <v>G4_4.1.1 Minimum Proficiency</v>
      </c>
    </row>
    <row r="37" spans="2:2">
      <c r="B37" s="143" t="str">
        <f>HYPERLINK("#'G4_4.1.2 Completion Rate'!A1","G4_4.1.2 Completion Rate")</f>
        <v>G4_4.1.2 Completion Rate</v>
      </c>
    </row>
    <row r="38" spans="2:2">
      <c r="B38" s="143" t="str">
        <f>HYPERLINK("#'G4_4.2.1 Children Development'!A1","G4_4.2.1 Children Development")</f>
        <v>G4_4.2.1 Children Development</v>
      </c>
    </row>
    <row r="39" spans="2:2">
      <c r="B39" s="143" t="str">
        <f>HYPERLINK("#'G4_4.6.1 Out of School'!A1","G4_4.6.1 Out of School")</f>
        <v>G4_4.6.1 Out of School</v>
      </c>
    </row>
    <row r="40" spans="2:2">
      <c r="B40" s="143" t="str">
        <f>HYPERLINK("#'G4_4.6.1 Out of School (2)'!A1","G4_4.6.1 Out of School (2)")</f>
        <v>G4_4.6.1 Out of School (2)</v>
      </c>
    </row>
    <row r="41" spans="2:2">
      <c r="B41" s="143" t="str">
        <f>HYPERLINK("#'G4_Fig16'!A1","G4_Fig16")</f>
        <v>G4_Fig16</v>
      </c>
    </row>
    <row r="42" spans="2:2">
      <c r="B42" s="143" t="str">
        <f>HYPERLINK("#'G4_Fig17'!A1","G4_Fig17")</f>
        <v>G4_Fig17</v>
      </c>
    </row>
    <row r="43" spans="2:2">
      <c r="B43" s="143" t="str">
        <f>HYPERLINK("#'G5_5.1.1'!A1","G5_5.1.1")</f>
        <v>G5_5.1.1</v>
      </c>
    </row>
    <row r="44" spans="2:2">
      <c r="B44" s="143" t="str">
        <f>HYPERLINK("#'G5_5.2.1_VAW'!A1","G5_5.2.1_VAW")</f>
        <v>G5_5.2.1_VAW</v>
      </c>
    </row>
    <row r="45" spans="2:2">
      <c r="B45" s="143" t="str">
        <f>HYPERLINK("#'G5_5.3.1 Married Before 18'!A1","G5_5.3.1 Married Before 18")</f>
        <v>G5_5.3.1 Married Before 18</v>
      </c>
    </row>
    <row r="46" spans="2:2">
      <c r="B46" s="143" t="str">
        <f>HYPERLINK("#'G5_5.3.2'!A1","G5_5.3.2")</f>
        <v>G5_5.3.2</v>
      </c>
    </row>
    <row r="47" spans="2:2">
      <c r="B47" s="143" t="str">
        <f>HYPERLINK("#'G5_5.5.1a Women in Parliaments'!A1","G5_5.5.1a Women in Parliaments")</f>
        <v>G5_5.5.1a Women in Parliaments</v>
      </c>
    </row>
    <row r="48" spans="2:2">
      <c r="B48" s="143" t="str">
        <f>HYPERLINK("#'G5_5.5.1b Women in Local Gov.'!A1","G5_5.5.1b Women in Local Gov.")</f>
        <v>G5_5.5.1b Women in Local Gov.</v>
      </c>
    </row>
    <row r="49" spans="2:2">
      <c r="B49" s="143" t="str">
        <f>HYPERLINK("#'G5_5.5.2'!A1","G5_5.5.2")</f>
        <v>G5_5.5.2</v>
      </c>
    </row>
    <row r="50" spans="2:2">
      <c r="B50" s="143" t="str">
        <f>HYPERLINK("#'G5_5.b.1'!A1","G5_5.b.1")</f>
        <v>G5_5.b.1</v>
      </c>
    </row>
    <row r="51" spans="2:2">
      <c r="B51" s="143" t="str">
        <f>HYPERLINK("#'G5_Fig18'!A1","G5_Fig18")</f>
        <v>G5_Fig18</v>
      </c>
    </row>
    <row r="52" spans="2:2">
      <c r="B52" s="143" t="str">
        <f>HYPERLINK("#'G5_Fig19'!A1","G5_Fig19")</f>
        <v>G5_Fig19</v>
      </c>
    </row>
    <row r="53" spans="2:2">
      <c r="B53" s="143" t="str">
        <f>HYPERLINK("#'G5_Fig20'!A1","G5_Fig20")</f>
        <v>G5_Fig20</v>
      </c>
    </row>
    <row r="54" spans="2:2">
      <c r="B54" s="143" t="str">
        <f>HYPERLINK("#'G5_Fig21'!A1","G5_Fig21")</f>
        <v>G5_Fig21</v>
      </c>
    </row>
    <row r="55" spans="2:2">
      <c r="B55" s="143" t="str">
        <f>HYPERLINK("#'G6_Safe &amp; Basic Serv. (summary)'!A1","G6_Safe &amp; Basic Serv. (summary)")</f>
        <v>G6_Safe &amp; Basic Serv. (summary)</v>
      </c>
    </row>
    <row r="56" spans="2:2">
      <c r="B56" s="143" t="str">
        <f>HYPERLINK("#'G6_Safely and Basic Services'!A1","G6_Safely and Basic Services")</f>
        <v>G6_Safely and Basic Services</v>
      </c>
    </row>
    <row r="57" spans="2:2">
      <c r="B57" s="143" t="str">
        <f>HYPERLINK("#'G6_Handwashing'!A1","G6_Handwashing")</f>
        <v>G6_Handwashing</v>
      </c>
    </row>
    <row r="58" spans="2:2">
      <c r="B58" s="143" t="str">
        <f>HYPERLINK("#'G6_Collecting Water Forecast'!A1","G6_Collecting Water Forecast")</f>
        <v>G6_Collecting Water Forecast</v>
      </c>
    </row>
    <row r="59" spans="2:2">
      <c r="B59" s="143" t="str">
        <f>HYPERLINK("#'G6_Fig22'!A1","G6_Fig22")</f>
        <v>G6_Fig22</v>
      </c>
    </row>
    <row r="60" spans="2:2">
      <c r="B60" s="143" t="str">
        <f>HYPERLINK("#'G6_Fig23'!A1","G6_Fig23")</f>
        <v>G6_Fig23</v>
      </c>
    </row>
    <row r="61" spans="2:2">
      <c r="B61" s="143" t="str">
        <f>HYPERLINK("#'G7_7.1.1'!A1","G7_7.1.1")</f>
        <v>G7_7.1.1</v>
      </c>
    </row>
    <row r="62" spans="2:2">
      <c r="B62" s="143" t="str">
        <f>HYPERLINK("#'G7_7.1.2'!A1","G7_7.1.2")</f>
        <v>G7_7.1.2</v>
      </c>
    </row>
    <row r="63" spans="2:2">
      <c r="B63" s="143" t="str">
        <f>HYPERLINK("#'G7_7.1.2 (continued)'!A1","G7_7.1.2 (continued)")</f>
        <v>G7_7.1.2 (continued)</v>
      </c>
    </row>
    <row r="64" spans="2:2">
      <c r="B64" s="143" t="str">
        <f>HYPERLINK("#'G7_Fig24'!A1","G7_Fig24")</f>
        <v>G7_Fig24</v>
      </c>
    </row>
    <row r="65" spans="2:2">
      <c r="B65" s="143" t="str">
        <f>HYPERLINK("#'G7_Fig25'!A1","G7_Fig25")</f>
        <v>G7_Fig25</v>
      </c>
    </row>
    <row r="66" spans="2:2">
      <c r="B66" s="143" t="str">
        <f>HYPERLINK("#'G8_Employment by status'!A1","G8_Employment by status")</f>
        <v>G8_Employment by status</v>
      </c>
    </row>
    <row r="67" spans="2:2">
      <c r="B67" s="143" t="str">
        <f>HYPERLINK("#'G8_8.3.1'!A1","G8_8.3.1")</f>
        <v>G8_8.3.1</v>
      </c>
    </row>
    <row r="68" spans="2:2">
      <c r="B68" s="143" t="str">
        <f>HYPERLINK("#'G8_8.5.2'!A1","G8_8.5.2")</f>
        <v>G8_8.5.2</v>
      </c>
    </row>
    <row r="69" spans="2:2">
      <c r="B69" s="143" t="str">
        <f>HYPERLINK("#'G8_8.6.1'!A1","G8_8.6.1")</f>
        <v>G8_8.6.1</v>
      </c>
    </row>
    <row r="70" spans="2:2">
      <c r="B70" s="143" t="str">
        <f>HYPERLINK("#'G8_8.10.2'!A1","G8_8.10.2")</f>
        <v>G8_8.10.2</v>
      </c>
    </row>
    <row r="71" spans="2:2">
      <c r="B71" s="143" t="str">
        <f>HYPERLINK("#'G8_Prime Age with 6yrs child'!A1","G8_Prime Age with 6yrs child")</f>
        <v>G8_Prime Age with 6yrs child</v>
      </c>
    </row>
    <row r="72" spans="2:2">
      <c r="B72" s="143" t="str">
        <f>HYPERLINK("#'G8_LF'!A1","G8_LF")</f>
        <v>G8_LF</v>
      </c>
    </row>
    <row r="73" spans="2:2">
      <c r="B73" s="143" t="str">
        <f>HYPERLINK("#'G8_Fig26&amp;27'!A1","G8_Fig26&amp;27")</f>
        <v>G8_Fig26&amp;27</v>
      </c>
    </row>
    <row r="74" spans="2:2">
      <c r="B74" s="143" t="str">
        <f>HYPERLINK("#'G8_Fig28'!A1","G8_Fig28")</f>
        <v>G8_Fig28</v>
      </c>
    </row>
    <row r="75" spans="2:2">
      <c r="B75" s="143" t="str">
        <f>HYPERLINK("#'G8_Fig29'!A1","G8_Fig29")</f>
        <v>G8_Fig29</v>
      </c>
    </row>
    <row r="76" spans="2:2">
      <c r="B76" s="143" t="str">
        <f>HYPERLINK("#'G8_Fig30'!A1","G8_Fig30")</f>
        <v>G8_Fig30</v>
      </c>
    </row>
    <row r="77" spans="2:2">
      <c r="B77" s="143" t="str">
        <f>HYPERLINK("#'G9_Employment by Sector'!A1","G9_Employment by Sector")</f>
        <v>G9_Employment by Sector</v>
      </c>
    </row>
    <row r="78" spans="2:2">
      <c r="B78" s="143" t="str">
        <f>HYPERLINK("#'G9_Inventors'!A1","G9_Inventors")</f>
        <v>G9_Inventors</v>
      </c>
    </row>
    <row r="79" spans="2:2">
      <c r="B79" s="143" t="str">
        <f>HYPERLINK("#'G9_Female Researchers'!A1","G9_Female Researchers")</f>
        <v>G9_Female Researchers</v>
      </c>
    </row>
    <row r="80" spans="2:2">
      <c r="B80" s="143" t="str">
        <f>HYPERLINK("#'G9_9.2.2'!A1","G9_9.2.2")</f>
        <v>G9_9.2.2</v>
      </c>
    </row>
    <row r="81" spans="2:2">
      <c r="B81" s="143" t="str">
        <f>HYPERLINK("#'G9_9.c.1_Covered by Mobile ntwk'!A1","G9_9.c.1_Covered by Mobile ntwk")</f>
        <v>G9_9.c.1_Covered by Mobile ntwk</v>
      </c>
    </row>
    <row r="82" spans="2:2">
      <c r="B82" s="143" t="str">
        <f>HYPERLINK("#'G9_COPA&amp;Email'!A1","G9_COPA&amp;Email")</f>
        <v>G9_COPA&amp;Email</v>
      </c>
    </row>
    <row r="83" spans="2:2">
      <c r="B83" s="143" t="str">
        <f>HYPERLINK("#'G9_Fig31'!A1","G9_Fig31")</f>
        <v>G9_Fig31</v>
      </c>
    </row>
    <row r="84" spans="2:2">
      <c r="B84" s="143" t="str">
        <f>HYPERLINK("#'G9_Fig32'!A1","G9_Fig32")</f>
        <v>G9_Fig32</v>
      </c>
    </row>
    <row r="85" spans="2:2">
      <c r="B85" s="143" t="str">
        <f>HYPERLINK("#'G10_10.3.1 Discrimination'!A1","G10_10.3.1 Discrimination")</f>
        <v>G10_10.3.1 Discrimination</v>
      </c>
    </row>
    <row r="86" spans="2:2">
      <c r="B86" s="143" t="str">
        <f>HYPERLINK("#'G10_Refugees &amp; IDP'!A1","G10_Refugees &amp; IDP")</f>
        <v>G10_Refugees &amp; IDP</v>
      </c>
    </row>
    <row r="87" spans="2:2">
      <c r="B87" s="143" t="str">
        <f>HYPERLINK("#'G10_Gender Income Gap'!A1","G10_Gender Income Gap")</f>
        <v>G10_Gender Income Gap</v>
      </c>
    </row>
    <row r="88" spans="2:2">
      <c r="B88" s="143" t="str">
        <f>HYPERLINK("#'G10_Fig33'!A1","G10_Fig33")</f>
        <v>G10_Fig33</v>
      </c>
    </row>
    <row r="89" spans="2:2">
      <c r="B89" s="143" t="str">
        <f>HYPERLINK("#'G10_Fig34'!A1","G10_Fig34")</f>
        <v>G10_Fig34</v>
      </c>
    </row>
    <row r="90" spans="2:2">
      <c r="B90" s="143" t="str">
        <f>HYPERLINK("#'G11_11.1.1'!A1","G11_11.1.1")</f>
        <v>G11_11.1.1</v>
      </c>
    </row>
    <row r="91" spans="2:2">
      <c r="B91" s="143" t="str">
        <f>HYPERLINK("#'G11_Fig35'!A1","G11_Fig35")</f>
        <v>G11_Fig35</v>
      </c>
    </row>
    <row r="92" spans="2:2">
      <c r="B92" s="143" t="str">
        <f>HYPERLINK("#'G15_15.3.1_land degradation'!A1","G15_15.3.1_land degradation")</f>
        <v>G15_15.3.1_land degradation</v>
      </c>
    </row>
    <row r="93" spans="2:2">
      <c r="B93" s="143" t="str">
        <f>HYPERLINK("#'Fig36'!A1","Fig36")</f>
        <v>Fig36</v>
      </c>
    </row>
    <row r="94" spans="2:2">
      <c r="B94" s="143" t="str">
        <f>HYPERLINK("#'G16_16.7.1b'!A1","G16_16.7.1b")</f>
        <v>G16_16.7.1b</v>
      </c>
    </row>
    <row r="95" spans="2:2">
      <c r="B95" s="143" t="str">
        <f>HYPERLINK("#'G16_Fig38'!A1","G16_Fig38")</f>
        <v>G16_Fig38</v>
      </c>
    </row>
    <row r="96" spans="2:2">
      <c r="B96" s="143" t="str">
        <f>HYPERLINK("#'G16_Fig39'!A1","G16_Fig39")</f>
        <v>G16_Fig39</v>
      </c>
    </row>
    <row r="97" spans="2:2">
      <c r="B97" s="143" t="str">
        <f>HYPERLINK("#'G16_Fig40'!A1","G16_Fig40")</f>
        <v>G16_Fig40</v>
      </c>
    </row>
    <row r="98" spans="2:2">
      <c r="B98" s="143" t="str">
        <f>HYPERLINK("#'G17_17.6.1'!A1","G17_17.6.1")</f>
        <v>G17_17.6.1</v>
      </c>
    </row>
    <row r="99" spans="2:2">
      <c r="B99" s="143" t="str">
        <f>HYPERLINK("#'G17_17.8.1'!A1","G17_17.8.1")</f>
        <v>G17_17.8.1</v>
      </c>
    </row>
    <row r="100" spans="2:2">
      <c r="B100" s="143" t="str">
        <f>HYPERLINK("#'G17_Fig41'!A1","G17_Fig41")</f>
        <v>G17_Fig41</v>
      </c>
    </row>
    <row r="101" spans="2:2">
      <c r="B101" s="143" t="str">
        <f>HYPERLINK("#'G17_Fig42'!A1","G17_Fig42")</f>
        <v>G17_Fig42</v>
      </c>
    </row>
    <row r="102" spans="2:2">
      <c r="B102" s="143" t="str">
        <f>HYPERLINK("#'G17_Fig43'!A1","G17_Fig43")</f>
        <v>G17_Fig43</v>
      </c>
    </row>
    <row r="103" spans="2:2">
      <c r="B103" s="143" t="str">
        <f>HYPERLINK("#'G17_Fig44'!A1","G17_Fig44")</f>
        <v>G17_Fig44</v>
      </c>
    </row>
    <row r="104" spans="2:2">
      <c r="B104" s="143" t="str">
        <f>HYPERLINK("#'G17_Fig45'!A12","G17_Fig45")</f>
        <v>G17_Fig45</v>
      </c>
    </row>
    <row r="105" spans="2:2">
      <c r="B105" s="143" t="str">
        <f>HYPERLINK("#'G17_ODGI'!A1","G17_ODGI")</f>
        <v>G17_ODGI</v>
      </c>
    </row>
    <row r="106" spans="2:2">
      <c r="B106" s="143" t="str">
        <f>HYPERLINK("#'Sheet7'!A1","Sheet7")</f>
        <v>Sheet7</v>
      </c>
    </row>
    <row r="107" spans="2:2">
      <c r="B107" s="143" t="str">
        <f>HYPERLINK("#'PB_1'!A1","PB_1")</f>
        <v>PB_1</v>
      </c>
    </row>
    <row r="108" spans="2:2">
      <c r="B108" s="143" t="str">
        <f>HYPERLINK("#'PB_2'!A1","PB_2")</f>
        <v>PB_2</v>
      </c>
    </row>
    <row r="109" spans="2:2">
      <c r="B109" s="143" t="str">
        <f>HYPERLINK("#'PB_3'!A1","PB_3")</f>
        <v>PB_3</v>
      </c>
    </row>
    <row r="110" spans="2:2">
      <c r="B110" s="143" t="str">
        <f>HYPERLINK("#'PB_4'!A1","PB_4")</f>
        <v>PB_4</v>
      </c>
    </row>
    <row r="111" spans="2:2">
      <c r="B111" s="143" t="str">
        <f>HYPERLINK("#'PB_5'!A1","PB_5")</f>
        <v>PB_5</v>
      </c>
    </row>
    <row r="112" spans="2:2">
      <c r="B112" s="143" t="str">
        <f>HYPERLINK("#'PB_6'!A1","PB_6")</f>
        <v>PB_6</v>
      </c>
    </row>
    <row r="113" spans="2:2">
      <c r="B113" s="143" t="str">
        <f>HYPERLINK("#'PB_7'!A1","PB_7")</f>
        <v>PB_7</v>
      </c>
    </row>
    <row r="114" spans="2:2">
      <c r="B114" s="143" t="str">
        <f>HYPERLINK("#'PB_8'!A1","PB_8")</f>
        <v>PB_8</v>
      </c>
    </row>
    <row r="115" spans="2:2">
      <c r="B115" s="143" t="str">
        <f>HYPERLINK("#'PB_9'!A1","PB_9")</f>
        <v>PB_9</v>
      </c>
    </row>
    <row r="116" spans="2:2">
      <c r="B116" s="143" t="str">
        <f>HYPERLINK("#'PB_10'!A1","PB_10")</f>
        <v>PB_10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56283-10E4-4B09-AF88-013BC5E24A4B}">
  <sheetPr>
    <tabColor theme="7"/>
  </sheetPr>
  <dimension ref="A1:AN13"/>
  <sheetViews>
    <sheetView zoomScale="70" zoomScaleNormal="70" workbookViewId="0">
      <selection activeCell="D7" sqref="D7"/>
    </sheetView>
  </sheetViews>
  <sheetFormatPr defaultRowHeight="14.5"/>
  <cols>
    <col min="1" max="1" width="58.81640625" style="240" customWidth="1"/>
    <col min="2" max="2" width="9.54296875" style="240" customWidth="1"/>
    <col min="3" max="3" width="8.81640625" style="240"/>
    <col min="4" max="4" width="58.81640625" style="240" customWidth="1"/>
    <col min="5" max="5" width="9.54296875" style="240" customWidth="1"/>
    <col min="6" max="40" width="8.81640625" style="240"/>
  </cols>
  <sheetData>
    <row r="1" spans="1:5" ht="15.5">
      <c r="A1" s="318" t="s">
        <v>525</v>
      </c>
      <c r="D1" s="318" t="s">
        <v>526</v>
      </c>
    </row>
    <row r="4" spans="1:5" ht="16">
      <c r="A4" s="28" t="s">
        <v>103</v>
      </c>
      <c r="B4" s="28" t="s">
        <v>521</v>
      </c>
      <c r="D4" s="28" t="s">
        <v>103</v>
      </c>
      <c r="E4" s="28" t="s">
        <v>521</v>
      </c>
    </row>
    <row r="5" spans="1:5">
      <c r="A5" s="13" t="s">
        <v>42</v>
      </c>
      <c r="B5" s="241">
        <v>30</v>
      </c>
      <c r="D5" s="13" t="s">
        <v>527</v>
      </c>
      <c r="E5" s="241">
        <v>1</v>
      </c>
    </row>
    <row r="6" spans="1:5">
      <c r="A6" s="13" t="s">
        <v>47</v>
      </c>
      <c r="B6" s="241">
        <v>50</v>
      </c>
      <c r="D6" s="13" t="s">
        <v>597</v>
      </c>
      <c r="E6" s="241">
        <v>3</v>
      </c>
    </row>
    <row r="7" spans="1:5">
      <c r="A7" s="13" t="s">
        <v>105</v>
      </c>
      <c r="B7" s="241">
        <v>56</v>
      </c>
      <c r="D7" s="13" t="s">
        <v>481</v>
      </c>
      <c r="E7" s="241">
        <v>5</v>
      </c>
    </row>
    <row r="8" spans="1:5">
      <c r="A8" s="13" t="s">
        <v>522</v>
      </c>
      <c r="B8" s="241">
        <v>60</v>
      </c>
      <c r="D8" s="13" t="s">
        <v>49</v>
      </c>
      <c r="E8" s="241">
        <v>7</v>
      </c>
    </row>
    <row r="9" spans="1:5">
      <c r="A9" s="13" t="s">
        <v>523</v>
      </c>
      <c r="B9" s="241">
        <v>70</v>
      </c>
      <c r="D9" s="13" t="s">
        <v>598</v>
      </c>
      <c r="E9" s="241">
        <v>15</v>
      </c>
    </row>
    <row r="10" spans="1:5">
      <c r="A10" s="13" t="s">
        <v>33</v>
      </c>
      <c r="B10" s="241">
        <v>90</v>
      </c>
    </row>
    <row r="11" spans="1:5">
      <c r="A11" s="13" t="s">
        <v>524</v>
      </c>
      <c r="B11" s="241">
        <v>98</v>
      </c>
    </row>
    <row r="12" spans="1:5">
      <c r="A12" s="13" t="s">
        <v>44</v>
      </c>
      <c r="B12" s="241">
        <v>120</v>
      </c>
    </row>
    <row r="13" spans="1:5">
      <c r="A13" s="13" t="s">
        <v>34</v>
      </c>
      <c r="B13" s="241">
        <v>182</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35CED-AB10-46D8-8C91-D31964584C90}">
  <sheetPr>
    <tabColor theme="6" tint="0.39997558519241921"/>
  </sheetPr>
  <dimension ref="A1:C30"/>
  <sheetViews>
    <sheetView showGridLines="0" zoomScale="70" zoomScaleNormal="70" workbookViewId="0">
      <pane xSplit="1" ySplit="2" topLeftCell="B3" activePane="bottomRight" state="frozen"/>
      <selection pane="topRight" activeCell="B1" sqref="B1"/>
      <selection pane="bottomLeft" activeCell="A3" sqref="A3"/>
      <selection pane="bottomRight" activeCell="B1" sqref="B1:C1"/>
    </sheetView>
  </sheetViews>
  <sheetFormatPr defaultRowHeight="14.5"/>
  <cols>
    <col min="1" max="1" width="15" bestFit="1" customWidth="1"/>
    <col min="2" max="2" width="13.81640625" customWidth="1"/>
    <col min="3" max="3" width="13.81640625" style="80" customWidth="1"/>
  </cols>
  <sheetData>
    <row r="1" spans="1:3" ht="34.4" customHeight="1">
      <c r="B1" s="533" t="s">
        <v>431</v>
      </c>
      <c r="C1" s="533"/>
    </row>
    <row r="2" spans="1:3">
      <c r="A2" s="35" t="s">
        <v>113</v>
      </c>
      <c r="B2" s="210" t="s">
        <v>104</v>
      </c>
      <c r="C2" s="224" t="s">
        <v>167</v>
      </c>
    </row>
    <row r="3" spans="1:3">
      <c r="A3" s="35" t="s">
        <v>67</v>
      </c>
      <c r="B3" s="35">
        <v>2010</v>
      </c>
      <c r="C3" s="60">
        <v>2</v>
      </c>
    </row>
    <row r="4" spans="1:3">
      <c r="A4" s="35" t="s">
        <v>67</v>
      </c>
      <c r="B4" s="35">
        <v>2015</v>
      </c>
      <c r="C4" s="60">
        <v>4.7</v>
      </c>
    </row>
    <row r="5" spans="1:3">
      <c r="A5" s="35" t="s">
        <v>67</v>
      </c>
      <c r="B5" s="35">
        <v>2020</v>
      </c>
      <c r="C5" s="60">
        <v>8.6</v>
      </c>
    </row>
    <row r="6" spans="1:3">
      <c r="A6" s="35" t="s">
        <v>67</v>
      </c>
      <c r="B6" s="35">
        <v>2021</v>
      </c>
      <c r="C6" s="60">
        <v>9.6999999999999993</v>
      </c>
    </row>
    <row r="7" spans="1:3">
      <c r="A7" s="35" t="s">
        <v>67</v>
      </c>
      <c r="B7" s="35">
        <v>2022</v>
      </c>
      <c r="C7" s="60">
        <v>10.5</v>
      </c>
    </row>
    <row r="8" spans="1:3">
      <c r="A8" s="35" t="s">
        <v>67</v>
      </c>
      <c r="B8" s="35">
        <v>2023</v>
      </c>
      <c r="C8" s="60">
        <v>11.7</v>
      </c>
    </row>
    <row r="9" spans="1:3">
      <c r="A9" s="35" t="s">
        <v>144</v>
      </c>
      <c r="B9" s="35">
        <v>2010</v>
      </c>
      <c r="C9" s="60">
        <v>2.1065</v>
      </c>
    </row>
    <row r="10" spans="1:3">
      <c r="A10" s="35" t="s">
        <v>144</v>
      </c>
      <c r="B10" s="35">
        <v>2015</v>
      </c>
      <c r="C10" s="60">
        <v>3.1344089999999998</v>
      </c>
    </row>
    <row r="11" spans="1:3">
      <c r="A11" s="35" t="s">
        <v>144</v>
      </c>
      <c r="B11" s="35">
        <v>2020</v>
      </c>
      <c r="C11" s="60">
        <v>6.1654369999999998</v>
      </c>
    </row>
    <row r="12" spans="1:3">
      <c r="A12" s="35" t="s">
        <v>144</v>
      </c>
      <c r="B12" s="35">
        <v>2021</v>
      </c>
      <c r="C12" s="60">
        <v>6.7135559999999996</v>
      </c>
    </row>
    <row r="13" spans="1:3">
      <c r="A13" s="35" t="s">
        <v>144</v>
      </c>
      <c r="B13" s="35">
        <v>2022</v>
      </c>
      <c r="C13" s="60">
        <v>22.526900000000001</v>
      </c>
    </row>
    <row r="14" spans="1:3">
      <c r="A14" s="35" t="s">
        <v>119</v>
      </c>
      <c r="B14" s="35">
        <v>2010</v>
      </c>
      <c r="C14" s="60">
        <v>5.7938970000000003</v>
      </c>
    </row>
    <row r="15" spans="1:3">
      <c r="A15" s="35" t="s">
        <v>119</v>
      </c>
      <c r="B15" s="35">
        <v>2015</v>
      </c>
      <c r="C15" s="60">
        <v>8.1109030000000004</v>
      </c>
    </row>
    <row r="16" spans="1:3">
      <c r="A16" s="35" t="s">
        <v>119</v>
      </c>
      <c r="B16" s="35">
        <v>2020</v>
      </c>
      <c r="C16" s="60">
        <v>13.432270000000001</v>
      </c>
    </row>
    <row r="17" spans="1:3">
      <c r="A17" s="35" t="s">
        <v>119</v>
      </c>
      <c r="B17" s="35">
        <v>2021</v>
      </c>
      <c r="C17" s="60">
        <v>14.42192</v>
      </c>
    </row>
    <row r="18" spans="1:3">
      <c r="A18" s="35" t="s">
        <v>119</v>
      </c>
      <c r="B18" s="35">
        <v>2022</v>
      </c>
      <c r="C18" s="60">
        <v>5.0542809999999996</v>
      </c>
    </row>
    <row r="19" spans="1:3">
      <c r="A19" s="35" t="s">
        <v>120</v>
      </c>
      <c r="B19" s="35">
        <v>2010</v>
      </c>
      <c r="C19" s="60">
        <v>1.614708</v>
      </c>
    </row>
    <row r="20" spans="1:3">
      <c r="A20" s="35" t="s">
        <v>120</v>
      </c>
      <c r="B20" s="35">
        <v>2015</v>
      </c>
      <c r="C20" s="60"/>
    </row>
    <row r="21" spans="1:3">
      <c r="A21" s="35" t="s">
        <v>120</v>
      </c>
      <c r="B21" s="35">
        <v>2020</v>
      </c>
      <c r="C21" s="60">
        <v>10.01187</v>
      </c>
    </row>
    <row r="22" spans="1:3">
      <c r="A22" s="35" t="s">
        <v>120</v>
      </c>
      <c r="B22" s="35">
        <v>2021</v>
      </c>
      <c r="C22" s="60">
        <v>10.856619999999999</v>
      </c>
    </row>
    <row r="23" spans="1:3">
      <c r="A23" s="35" t="s">
        <v>120</v>
      </c>
      <c r="B23" s="35">
        <v>2022</v>
      </c>
      <c r="C23" s="60">
        <v>13.71922</v>
      </c>
    </row>
    <row r="24" spans="1:3">
      <c r="A24" s="35" t="s">
        <v>121</v>
      </c>
      <c r="B24" s="35">
        <v>2010</v>
      </c>
      <c r="C24" s="60">
        <v>0.41831770000000001</v>
      </c>
    </row>
    <row r="25" spans="1:3">
      <c r="A25" s="35" t="s">
        <v>121</v>
      </c>
      <c r="B25" s="35">
        <v>2015</v>
      </c>
      <c r="C25" s="60">
        <v>1.0934900000000001</v>
      </c>
    </row>
    <row r="26" spans="1:3">
      <c r="A26" s="35" t="s">
        <v>121</v>
      </c>
      <c r="B26" s="35">
        <v>2020</v>
      </c>
      <c r="C26" s="60">
        <v>1.1122099999999999</v>
      </c>
    </row>
    <row r="27" spans="1:3">
      <c r="A27" s="35" t="s">
        <v>121</v>
      </c>
      <c r="B27" s="35">
        <v>2021</v>
      </c>
      <c r="C27" s="60">
        <v>1.1523460000000001</v>
      </c>
    </row>
    <row r="28" spans="1:3">
      <c r="A28" s="35" t="s">
        <v>121</v>
      </c>
      <c r="B28" s="35">
        <v>2022</v>
      </c>
      <c r="C28" s="60">
        <v>1.0815870000000001</v>
      </c>
    </row>
    <row r="30" spans="1:3">
      <c r="A30" t="s">
        <v>269</v>
      </c>
    </row>
  </sheetData>
  <mergeCells count="1">
    <mergeCell ref="B1:C1"/>
  </mergeCells>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C95D8-29C5-42E0-95C2-27E789A632B4}">
  <sheetPr>
    <tabColor theme="6" tint="0.39997558519241921"/>
  </sheetPr>
  <dimension ref="A1:M23"/>
  <sheetViews>
    <sheetView showGridLines="0" zoomScale="70" zoomScaleNormal="70" workbookViewId="0">
      <selection activeCell="L24" sqref="L24"/>
    </sheetView>
  </sheetViews>
  <sheetFormatPr defaultRowHeight="14.5"/>
  <cols>
    <col min="1" max="1" width="15" bestFit="1" customWidth="1"/>
    <col min="2" max="2" width="10.453125" style="53" bestFit="1" customWidth="1"/>
    <col min="3" max="9" width="14.81640625" customWidth="1"/>
    <col min="10" max="12" width="12.81640625" customWidth="1"/>
    <col min="13" max="13" width="11.453125" bestFit="1" customWidth="1"/>
  </cols>
  <sheetData>
    <row r="1" spans="1:13">
      <c r="A1" t="s">
        <v>269</v>
      </c>
      <c r="C1" s="534" t="s">
        <v>432</v>
      </c>
      <c r="D1" s="535"/>
      <c r="E1" s="535"/>
      <c r="F1" s="535"/>
      <c r="G1" s="535"/>
      <c r="H1" s="536"/>
      <c r="I1" s="208"/>
      <c r="J1" s="209" t="s">
        <v>433</v>
      </c>
      <c r="K1" s="210"/>
      <c r="L1" s="210"/>
    </row>
    <row r="2" spans="1:13">
      <c r="A2" s="35"/>
      <c r="B2" s="44"/>
      <c r="C2" s="537" t="s">
        <v>114</v>
      </c>
      <c r="D2" s="538"/>
      <c r="E2" s="537" t="s">
        <v>115</v>
      </c>
      <c r="F2" s="538"/>
      <c r="G2" s="537" t="s">
        <v>116</v>
      </c>
      <c r="H2" s="538"/>
      <c r="I2" s="208"/>
      <c r="J2" s="210" t="s">
        <v>114</v>
      </c>
      <c r="K2" s="210" t="s">
        <v>115</v>
      </c>
      <c r="L2" s="210" t="s">
        <v>116</v>
      </c>
    </row>
    <row r="3" spans="1:13">
      <c r="A3" s="35" t="s">
        <v>113</v>
      </c>
      <c r="B3" s="44" t="s">
        <v>104</v>
      </c>
      <c r="C3" s="210" t="s">
        <v>112</v>
      </c>
      <c r="D3" s="210" t="s">
        <v>102</v>
      </c>
      <c r="E3" s="210" t="s">
        <v>112</v>
      </c>
      <c r="F3" s="210" t="s">
        <v>102</v>
      </c>
      <c r="G3" s="210" t="s">
        <v>112</v>
      </c>
      <c r="H3" s="210" t="s">
        <v>102</v>
      </c>
      <c r="I3" s="208"/>
      <c r="J3" s="537"/>
      <c r="K3" s="539"/>
      <c r="L3" s="538"/>
    </row>
    <row r="4" spans="1:13">
      <c r="A4" s="35" t="s">
        <v>67</v>
      </c>
      <c r="B4" s="44">
        <v>2020</v>
      </c>
      <c r="C4" s="105">
        <v>61.6</v>
      </c>
      <c r="D4" s="110">
        <v>279353408</v>
      </c>
      <c r="E4" s="105">
        <v>55.6</v>
      </c>
      <c r="F4" s="110">
        <v>121668440</v>
      </c>
      <c r="G4" s="105">
        <v>67.2</v>
      </c>
      <c r="H4" s="110">
        <v>157696688</v>
      </c>
      <c r="I4" s="208"/>
      <c r="J4" s="61">
        <v>174142399</v>
      </c>
      <c r="K4" s="61">
        <v>97159693</v>
      </c>
      <c r="L4" s="61">
        <v>76982706</v>
      </c>
      <c r="M4" s="211"/>
    </row>
    <row r="5" spans="1:13">
      <c r="A5" s="35" t="s">
        <v>67</v>
      </c>
      <c r="B5" s="44">
        <v>2021</v>
      </c>
      <c r="C5" s="105">
        <v>64.2</v>
      </c>
      <c r="D5" s="110">
        <v>296587584</v>
      </c>
      <c r="E5" s="105">
        <v>58.6</v>
      </c>
      <c r="F5" s="110">
        <v>130745520</v>
      </c>
      <c r="G5" s="105">
        <v>69.5</v>
      </c>
      <c r="H5" s="110">
        <v>166007136</v>
      </c>
      <c r="I5" s="208"/>
      <c r="J5" s="61">
        <v>165386865</v>
      </c>
      <c r="K5" s="61">
        <v>92369703</v>
      </c>
      <c r="L5" s="61">
        <v>73017162</v>
      </c>
      <c r="M5" s="211"/>
    </row>
    <row r="6" spans="1:13">
      <c r="A6" s="35" t="s">
        <v>67</v>
      </c>
      <c r="B6" s="44">
        <v>2022</v>
      </c>
      <c r="C6" s="105">
        <v>66.900000000000006</v>
      </c>
      <c r="D6" s="110">
        <v>315784544</v>
      </c>
      <c r="E6" s="105">
        <v>61.5</v>
      </c>
      <c r="F6" s="110">
        <v>140143488</v>
      </c>
      <c r="G6" s="105">
        <v>71.900000000000006</v>
      </c>
      <c r="H6" s="110">
        <v>175543200</v>
      </c>
      <c r="I6" s="208"/>
      <c r="J6" s="61">
        <v>156240178</v>
      </c>
      <c r="K6" s="61">
        <v>87732114</v>
      </c>
      <c r="L6" s="61">
        <v>68508064</v>
      </c>
      <c r="M6" s="211"/>
    </row>
    <row r="7" spans="1:13">
      <c r="A7" s="35" t="s">
        <v>67</v>
      </c>
      <c r="B7" s="44">
        <v>2023</v>
      </c>
      <c r="C7" s="105">
        <v>68.900000000000006</v>
      </c>
      <c r="D7" s="110">
        <v>332353120</v>
      </c>
      <c r="E7" s="105">
        <v>63.8</v>
      </c>
      <c r="F7" s="110">
        <v>148522080</v>
      </c>
      <c r="G7" s="105">
        <v>73.7</v>
      </c>
      <c r="H7" s="110">
        <v>183938304</v>
      </c>
      <c r="I7" s="208"/>
      <c r="J7" s="61">
        <v>150017141</v>
      </c>
      <c r="K7" s="61">
        <v>84271138</v>
      </c>
      <c r="L7" s="61">
        <v>65746003</v>
      </c>
      <c r="M7" s="211"/>
    </row>
    <row r="8" spans="1:13">
      <c r="A8" s="35" t="s">
        <v>144</v>
      </c>
      <c r="B8" s="44">
        <v>2020</v>
      </c>
      <c r="C8" s="105">
        <v>98.2</v>
      </c>
      <c r="D8" s="110">
        <v>52683144</v>
      </c>
      <c r="E8" s="105">
        <v>98.5</v>
      </c>
      <c r="F8" s="110">
        <v>19955610</v>
      </c>
      <c r="G8" s="105">
        <v>98.1</v>
      </c>
      <c r="H8" s="110">
        <v>32754914</v>
      </c>
      <c r="I8" s="208"/>
      <c r="J8" s="61">
        <v>965678</v>
      </c>
      <c r="K8" s="61">
        <v>303893</v>
      </c>
      <c r="L8" s="61">
        <v>661785</v>
      </c>
    </row>
    <row r="9" spans="1:13">
      <c r="A9" s="35" t="s">
        <v>144</v>
      </c>
      <c r="B9" s="44">
        <v>2021</v>
      </c>
      <c r="C9" s="105">
        <v>99.7</v>
      </c>
      <c r="D9" s="110">
        <v>54132448</v>
      </c>
      <c r="E9" s="105">
        <v>99.8</v>
      </c>
      <c r="F9" s="110">
        <v>20591218</v>
      </c>
      <c r="G9" s="105">
        <v>99.6</v>
      </c>
      <c r="H9" s="110">
        <v>33528204</v>
      </c>
      <c r="I9" s="208"/>
      <c r="J9" s="61">
        <v>162887</v>
      </c>
      <c r="K9" s="61">
        <v>41264</v>
      </c>
      <c r="L9" s="61">
        <v>121623</v>
      </c>
    </row>
    <row r="10" spans="1:13">
      <c r="A10" s="35" t="s">
        <v>144</v>
      </c>
      <c r="B10" s="44">
        <v>2022</v>
      </c>
      <c r="C10" s="105">
        <v>99.8</v>
      </c>
      <c r="D10" s="110">
        <v>56050764</v>
      </c>
      <c r="E10" s="105">
        <v>99.8</v>
      </c>
      <c r="F10" s="110">
        <v>21271194</v>
      </c>
      <c r="G10" s="105">
        <v>99.8</v>
      </c>
      <c r="H10" s="110">
        <v>34779568</v>
      </c>
      <c r="I10" s="208"/>
      <c r="J10" s="61">
        <v>112325</v>
      </c>
      <c r="K10" s="61">
        <v>42628</v>
      </c>
      <c r="L10" s="61">
        <v>69697</v>
      </c>
    </row>
    <row r="11" spans="1:13">
      <c r="A11" s="35" t="s">
        <v>144</v>
      </c>
      <c r="B11" s="44">
        <v>2023</v>
      </c>
      <c r="C11" s="105">
        <v>100</v>
      </c>
      <c r="D11" s="110"/>
      <c r="E11" s="105"/>
      <c r="F11" s="110"/>
      <c r="G11" s="105"/>
      <c r="H11" s="110"/>
      <c r="I11" s="208"/>
      <c r="J11" s="61">
        <v>0</v>
      </c>
      <c r="K11" s="61">
        <v>0</v>
      </c>
      <c r="L11" s="61">
        <v>0</v>
      </c>
    </row>
    <row r="12" spans="1:13">
      <c r="A12" s="35" t="s">
        <v>119</v>
      </c>
      <c r="B12" s="44">
        <v>2020</v>
      </c>
      <c r="C12" s="105">
        <v>72.099999999999994</v>
      </c>
      <c r="D12" s="110">
        <v>71844600</v>
      </c>
      <c r="E12" s="105">
        <v>67.7</v>
      </c>
      <c r="F12" s="110">
        <v>33281972</v>
      </c>
      <c r="G12" s="105">
        <v>76.5</v>
      </c>
      <c r="H12" s="110">
        <v>38620864</v>
      </c>
      <c r="I12" s="208"/>
      <c r="J12" s="61">
        <v>27801165</v>
      </c>
      <c r="K12" s="61">
        <v>15878990</v>
      </c>
      <c r="L12" s="61">
        <v>11922175</v>
      </c>
    </row>
    <row r="13" spans="1:13">
      <c r="A13" s="35" t="s">
        <v>119</v>
      </c>
      <c r="B13" s="44">
        <v>2021</v>
      </c>
      <c r="C13" s="105">
        <v>76.2</v>
      </c>
      <c r="D13" s="110">
        <v>76885280</v>
      </c>
      <c r="E13" s="105">
        <v>73.5</v>
      </c>
      <c r="F13" s="110">
        <v>36602992</v>
      </c>
      <c r="G13" s="105">
        <v>78.900000000000006</v>
      </c>
      <c r="H13" s="110">
        <v>40317392</v>
      </c>
      <c r="I13" s="208"/>
      <c r="J13" s="61">
        <v>24014042</v>
      </c>
      <c r="K13" s="61">
        <v>13196998</v>
      </c>
      <c r="L13" s="61">
        <v>10817044</v>
      </c>
    </row>
    <row r="14" spans="1:13">
      <c r="A14" s="35" t="s">
        <v>119</v>
      </c>
      <c r="B14" s="44">
        <v>2022</v>
      </c>
      <c r="C14" s="105">
        <v>79.900000000000006</v>
      </c>
      <c r="D14" s="110">
        <v>81617520</v>
      </c>
      <c r="E14" s="105">
        <v>77.8</v>
      </c>
      <c r="F14" s="110">
        <v>39237872</v>
      </c>
      <c r="G14" s="105">
        <v>81.900000000000006</v>
      </c>
      <c r="H14" s="110">
        <v>42354844</v>
      </c>
      <c r="I14" s="208"/>
      <c r="J14" s="61">
        <v>20532071</v>
      </c>
      <c r="K14" s="61">
        <v>11196409</v>
      </c>
      <c r="L14" s="61">
        <v>9335662</v>
      </c>
    </row>
    <row r="15" spans="1:13">
      <c r="A15" s="35" t="s">
        <v>119</v>
      </c>
      <c r="B15" s="44">
        <v>2023</v>
      </c>
      <c r="C15" s="105">
        <v>83.1</v>
      </c>
      <c r="D15" s="110"/>
      <c r="E15" s="105"/>
      <c r="F15" s="110"/>
      <c r="G15" s="105"/>
      <c r="H15" s="110"/>
      <c r="I15" s="208"/>
      <c r="J15" s="61">
        <v>0</v>
      </c>
      <c r="K15" s="61">
        <v>0</v>
      </c>
      <c r="L15" s="61">
        <v>0</v>
      </c>
    </row>
    <row r="16" spans="1:13">
      <c r="A16" s="35" t="s">
        <v>120</v>
      </c>
      <c r="B16" s="44">
        <v>2020</v>
      </c>
      <c r="C16" s="105">
        <v>65.7</v>
      </c>
      <c r="D16" s="110">
        <v>127535824</v>
      </c>
      <c r="E16" s="105">
        <v>61.3</v>
      </c>
      <c r="F16" s="110">
        <v>59091556</v>
      </c>
      <c r="G16" s="105">
        <v>70.099999999999994</v>
      </c>
      <c r="H16" s="110">
        <v>68502536</v>
      </c>
      <c r="I16" s="208"/>
      <c r="J16" s="61">
        <v>66582632</v>
      </c>
      <c r="K16" s="61">
        <v>37305762</v>
      </c>
      <c r="L16" s="61">
        <v>29276870</v>
      </c>
    </row>
    <row r="17" spans="1:12">
      <c r="A17" s="35" t="s">
        <v>120</v>
      </c>
      <c r="B17" s="44">
        <v>2021</v>
      </c>
      <c r="C17" s="105">
        <v>68.900000000000006</v>
      </c>
      <c r="D17" s="110">
        <v>136164944</v>
      </c>
      <c r="E17" s="105">
        <v>64.7</v>
      </c>
      <c r="F17" s="110">
        <v>63490316</v>
      </c>
      <c r="G17" s="105">
        <v>73.099999999999994</v>
      </c>
      <c r="H17" s="110">
        <v>72731968</v>
      </c>
      <c r="I17" s="208"/>
      <c r="J17" s="61">
        <v>61461964</v>
      </c>
      <c r="K17" s="61">
        <v>34640005</v>
      </c>
      <c r="L17" s="61">
        <v>26821959</v>
      </c>
    </row>
    <row r="18" spans="1:12">
      <c r="A18" s="35" t="s">
        <v>120</v>
      </c>
      <c r="B18" s="44">
        <v>2022</v>
      </c>
      <c r="C18" s="105">
        <v>72.400000000000006</v>
      </c>
      <c r="D18" s="110">
        <v>145854880</v>
      </c>
      <c r="E18" s="105">
        <v>68.599999999999994</v>
      </c>
      <c r="F18" s="110">
        <v>68614120</v>
      </c>
      <c r="G18" s="105">
        <v>76</v>
      </c>
      <c r="H18" s="110">
        <v>77091656</v>
      </c>
      <c r="I18" s="208"/>
      <c r="J18" s="61">
        <v>55602138</v>
      </c>
      <c r="K18" s="61">
        <v>31406464</v>
      </c>
      <c r="L18" s="61">
        <v>24195674</v>
      </c>
    </row>
    <row r="19" spans="1:12">
      <c r="A19" s="35" t="s">
        <v>120</v>
      </c>
      <c r="B19" s="44">
        <v>2023</v>
      </c>
      <c r="C19" s="105">
        <v>74.5</v>
      </c>
      <c r="D19" s="110"/>
      <c r="E19" s="105"/>
      <c r="F19" s="110"/>
      <c r="G19" s="105"/>
      <c r="H19" s="110"/>
      <c r="I19" s="208"/>
      <c r="J19" s="61">
        <v>0</v>
      </c>
      <c r="K19" s="61">
        <v>0</v>
      </c>
      <c r="L19" s="61">
        <v>0</v>
      </c>
    </row>
    <row r="20" spans="1:12">
      <c r="A20" s="35" t="s">
        <v>121</v>
      </c>
      <c r="B20" s="44">
        <v>2020</v>
      </c>
      <c r="C20" s="105">
        <v>21.6</v>
      </c>
      <c r="D20" s="110">
        <v>22913878</v>
      </c>
      <c r="E20" s="105">
        <v>13</v>
      </c>
      <c r="F20" s="110">
        <v>6891346</v>
      </c>
      <c r="G20" s="105">
        <v>30.1</v>
      </c>
      <c r="H20" s="110">
        <v>15974800</v>
      </c>
      <c r="I20" s="208"/>
      <c r="J20" s="61">
        <v>83168886</v>
      </c>
      <c r="K20" s="61">
        <v>46119004</v>
      </c>
      <c r="L20" s="61">
        <v>37049882</v>
      </c>
    </row>
    <row r="21" spans="1:12">
      <c r="A21" s="35" t="s">
        <v>121</v>
      </c>
      <c r="B21" s="44">
        <v>2021</v>
      </c>
      <c r="C21" s="105">
        <v>23.4</v>
      </c>
      <c r="D21" s="110">
        <v>25541774</v>
      </c>
      <c r="E21" s="105">
        <v>14.1</v>
      </c>
      <c r="F21" s="110">
        <v>7691892</v>
      </c>
      <c r="G21" s="105">
        <v>32.6</v>
      </c>
      <c r="H21" s="110">
        <v>17799744</v>
      </c>
      <c r="I21" s="208"/>
      <c r="J21" s="61">
        <v>83611110</v>
      </c>
      <c r="K21" s="61">
        <v>46860538</v>
      </c>
      <c r="L21" s="61">
        <v>36750572</v>
      </c>
    </row>
    <row r="22" spans="1:12">
      <c r="A22" s="35" t="s">
        <v>121</v>
      </c>
      <c r="B22" s="44">
        <v>2022</v>
      </c>
      <c r="C22" s="105">
        <v>25.3</v>
      </c>
      <c r="D22" s="110">
        <v>28400522</v>
      </c>
      <c r="E22" s="105">
        <v>15.3</v>
      </c>
      <c r="F22" s="110">
        <v>8584358</v>
      </c>
      <c r="G22" s="105">
        <v>35.299999999999997</v>
      </c>
      <c r="H22" s="110">
        <v>19820290</v>
      </c>
      <c r="I22" s="208"/>
      <c r="J22" s="61">
        <v>83854503</v>
      </c>
      <c r="K22" s="61">
        <v>47522556</v>
      </c>
      <c r="L22" s="61">
        <v>36331947</v>
      </c>
    </row>
    <row r="23" spans="1:12">
      <c r="A23" s="35" t="s">
        <v>121</v>
      </c>
      <c r="B23" s="44">
        <v>2023</v>
      </c>
      <c r="C23" s="105">
        <v>27.7</v>
      </c>
      <c r="D23" s="105"/>
      <c r="E23" s="105"/>
      <c r="F23" s="105"/>
      <c r="G23" s="105"/>
      <c r="H23" s="105"/>
      <c r="I23" s="80"/>
      <c r="J23" s="61">
        <v>0</v>
      </c>
      <c r="K23" s="61">
        <v>0</v>
      </c>
      <c r="L23" s="61">
        <v>0</v>
      </c>
    </row>
  </sheetData>
  <mergeCells count="5">
    <mergeCell ref="C1:H1"/>
    <mergeCell ref="C2:D2"/>
    <mergeCell ref="E2:F2"/>
    <mergeCell ref="G2:H2"/>
    <mergeCell ref="J3:L3"/>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7A03C-D60B-4B96-80E8-8CF4611930A5}">
  <sheetPr>
    <tabColor theme="0" tint="-0.499984740745262"/>
  </sheetPr>
  <dimension ref="A1:F39"/>
  <sheetViews>
    <sheetView showGridLines="0" topLeftCell="B1" zoomScale="70" zoomScaleNormal="70" workbookViewId="0">
      <pane xSplit="1" ySplit="1" topLeftCell="E2" activePane="bottomRight" state="frozen"/>
      <selection activeCell="B1" sqref="B1"/>
      <selection pane="topRight" activeCell="C1" sqref="C1"/>
      <selection pane="bottomLeft" activeCell="B2" sqref="B2"/>
      <selection pane="bottomRight" activeCell="I7" sqref="H7:I7"/>
    </sheetView>
  </sheetViews>
  <sheetFormatPr defaultRowHeight="14.5"/>
  <cols>
    <col min="1" max="1" width="11.453125" style="169" hidden="1" customWidth="1"/>
    <col min="2" max="2" width="84.453125" bestFit="1" customWidth="1"/>
    <col min="3" max="4" width="8.81640625" style="169"/>
    <col min="5" max="5" width="10.54296875" style="169" customWidth="1"/>
    <col min="6" max="6" width="9.1796875" style="326" customWidth="1"/>
  </cols>
  <sheetData>
    <row r="1" spans="1:6" ht="37">
      <c r="A1" s="169" t="s">
        <v>549</v>
      </c>
      <c r="B1" s="309" t="s">
        <v>180</v>
      </c>
      <c r="C1" s="372" t="s">
        <v>453</v>
      </c>
      <c r="D1" s="372" t="s">
        <v>110</v>
      </c>
      <c r="E1" s="372" t="s">
        <v>67</v>
      </c>
    </row>
    <row r="2" spans="1:6">
      <c r="A2" s="169">
        <v>1</v>
      </c>
      <c r="B2" s="306" t="s">
        <v>548</v>
      </c>
      <c r="C2" s="199">
        <v>2022</v>
      </c>
      <c r="D2" s="105">
        <v>51.7</v>
      </c>
      <c r="E2" s="105">
        <v>44.925789999999999</v>
      </c>
      <c r="F2" s="327">
        <f t="shared" ref="F2:F10" si="0">100-E2</f>
        <v>55.074210000000001</v>
      </c>
    </row>
    <row r="3" spans="1:6">
      <c r="A3" s="169">
        <v>2</v>
      </c>
      <c r="B3" s="306" t="s">
        <v>547</v>
      </c>
      <c r="C3" s="199">
        <v>2022</v>
      </c>
      <c r="D3" s="105">
        <v>61.9</v>
      </c>
      <c r="E3" s="105">
        <v>49.090910000000001</v>
      </c>
      <c r="F3" s="327">
        <f t="shared" si="0"/>
        <v>50.909089999999999</v>
      </c>
    </row>
    <row r="4" spans="1:6">
      <c r="A4" s="169">
        <v>3</v>
      </c>
      <c r="B4" s="306" t="s">
        <v>546</v>
      </c>
      <c r="C4" s="199">
        <v>2022</v>
      </c>
      <c r="D4" s="105">
        <v>47.12</v>
      </c>
      <c r="E4" s="105">
        <v>43.994999999999997</v>
      </c>
      <c r="F4" s="327">
        <f t="shared" si="0"/>
        <v>56.005000000000003</v>
      </c>
    </row>
    <row r="5" spans="1:6">
      <c r="A5" s="169">
        <v>4</v>
      </c>
      <c r="B5" s="306" t="s">
        <v>545</v>
      </c>
      <c r="C5" s="199">
        <v>2022</v>
      </c>
      <c r="D5" s="105">
        <f>14900/243</f>
        <v>61.31687242798354</v>
      </c>
      <c r="E5" s="105">
        <f>1500/22</f>
        <v>68.181818181818187</v>
      </c>
      <c r="F5" s="327">
        <f t="shared" si="0"/>
        <v>31.818181818181813</v>
      </c>
    </row>
    <row r="6" spans="1:6">
      <c r="A6" s="169">
        <v>5</v>
      </c>
      <c r="B6" s="306" t="s">
        <v>544</v>
      </c>
      <c r="C6" s="199">
        <v>2022</v>
      </c>
      <c r="D6" s="105">
        <f>7200/243</f>
        <v>29.62962962962963</v>
      </c>
      <c r="E6" s="105">
        <f>1600/22</f>
        <v>72.727272727272734</v>
      </c>
      <c r="F6" s="327">
        <f t="shared" si="0"/>
        <v>27.272727272727266</v>
      </c>
    </row>
    <row r="7" spans="1:6">
      <c r="A7" s="169">
        <v>6</v>
      </c>
      <c r="B7" s="306" t="s">
        <v>543</v>
      </c>
      <c r="C7" s="199">
        <v>2022</v>
      </c>
      <c r="D7" s="105">
        <f>15600/243</f>
        <v>64.197530864197532</v>
      </c>
      <c r="E7" s="105">
        <f>1500/22</f>
        <v>68.181818181818187</v>
      </c>
      <c r="F7" s="327">
        <f t="shared" si="0"/>
        <v>31.818181818181813</v>
      </c>
    </row>
    <row r="8" spans="1:6">
      <c r="A8" s="169">
        <v>7</v>
      </c>
      <c r="B8" s="306" t="s">
        <v>542</v>
      </c>
      <c r="C8" s="199">
        <v>2023</v>
      </c>
      <c r="D8" s="105">
        <v>86.1</v>
      </c>
      <c r="E8" s="105">
        <f>1400/22</f>
        <v>63.636363636363633</v>
      </c>
      <c r="F8" s="327">
        <f t="shared" si="0"/>
        <v>36.363636363636367</v>
      </c>
    </row>
    <row r="9" spans="1:6">
      <c r="A9" s="169">
        <v>8</v>
      </c>
      <c r="B9" s="306" t="s">
        <v>541</v>
      </c>
      <c r="C9" s="199">
        <v>2021</v>
      </c>
      <c r="D9" s="105">
        <v>60.4</v>
      </c>
      <c r="E9" s="105">
        <f>1400/22</f>
        <v>63.636363636363633</v>
      </c>
      <c r="F9" s="327">
        <f t="shared" si="0"/>
        <v>36.363636363636367</v>
      </c>
    </row>
    <row r="10" spans="1:6">
      <c r="A10" s="169">
        <v>9</v>
      </c>
      <c r="B10" s="306" t="s">
        <v>540</v>
      </c>
      <c r="C10" s="199">
        <v>2021</v>
      </c>
      <c r="D10" s="105">
        <v>62.9</v>
      </c>
      <c r="E10" s="105">
        <v>50</v>
      </c>
      <c r="F10" s="327">
        <f t="shared" si="0"/>
        <v>50</v>
      </c>
    </row>
    <row r="38" spans="2:2">
      <c r="B38" s="350" t="s">
        <v>25</v>
      </c>
    </row>
    <row r="39" spans="2:2">
      <c r="B39" s="354" t="s">
        <v>632</v>
      </c>
    </row>
  </sheetData>
  <hyperlinks>
    <hyperlink ref="B39" r:id="rId1" display="https://www.unescwa.org/portal/arab-sdg-monitor" xr:uid="{A2FF26C7-6803-4109-80CA-F6DA74B8BA21}"/>
  </hyperlinks>
  <pageMargins left="0.7" right="0.7" top="0.75" bottom="0.75" header="0.3" footer="0.3"/>
  <ignoredErrors>
    <ignoredError sqref="E6" formula="1"/>
  </ignoredErrors>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73D6B-4A28-47BE-97F4-D21317C39A8A}">
  <sheetPr>
    <tabColor theme="0" tint="-0.499984740745262"/>
  </sheetPr>
  <dimension ref="A2:AF4"/>
  <sheetViews>
    <sheetView zoomScale="80" zoomScaleNormal="80" workbookViewId="0">
      <selection activeCell="L12" sqref="L12"/>
    </sheetView>
  </sheetViews>
  <sheetFormatPr defaultRowHeight="14.5"/>
  <cols>
    <col min="1" max="32" width="8.81640625" style="240"/>
  </cols>
  <sheetData>
    <row r="2" spans="1:1" ht="34.5">
      <c r="A2" s="394" t="s">
        <v>679</v>
      </c>
    </row>
    <row r="3" spans="1:1" ht="29">
      <c r="A3" s="395" t="s">
        <v>678</v>
      </c>
    </row>
    <row r="4" spans="1:1">
      <c r="A4" s="240" t="s">
        <v>677</v>
      </c>
    </row>
  </sheetData>
  <hyperlinks>
    <hyperlink ref="A3" r:id="rId1" display="https://odin.opendatawatch.com/annualreport/2022/2022_figure_18.xlsx" xr:uid="{CAA82DC1-1152-4BE2-9F6A-058BC47015E2}"/>
  </hyperlinks>
  <pageMargins left="0.7" right="0.7" top="0.75" bottom="0.75" header="0.3" footer="0.3"/>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2B55F-7186-4342-9525-169791048E70}">
  <sheetPr>
    <tabColor theme="0" tint="-0.499984740745262"/>
  </sheetPr>
  <dimension ref="A1:AB6"/>
  <sheetViews>
    <sheetView zoomScale="70" zoomScaleNormal="70" workbookViewId="0">
      <selection activeCell="A2" sqref="A2"/>
    </sheetView>
  </sheetViews>
  <sheetFormatPr defaultRowHeight="14.5"/>
  <cols>
    <col min="1" max="1" width="9.54296875" style="240" customWidth="1"/>
    <col min="2" max="28" width="8.81640625" style="240"/>
  </cols>
  <sheetData>
    <row r="1" spans="1:2" ht="18.5">
      <c r="A1" s="367" t="s">
        <v>539</v>
      </c>
      <c r="B1" s="367" t="s">
        <v>167</v>
      </c>
    </row>
    <row r="2" spans="1:2">
      <c r="A2" s="306" t="s">
        <v>536</v>
      </c>
      <c r="B2" s="300">
        <v>0.49</v>
      </c>
    </row>
    <row r="3" spans="1:2">
      <c r="A3" s="306" t="s">
        <v>537</v>
      </c>
      <c r="B3" s="300">
        <v>0.16</v>
      </c>
    </row>
    <row r="4" spans="1:2">
      <c r="A4" s="306" t="s">
        <v>538</v>
      </c>
      <c r="B4" s="300">
        <v>0.17</v>
      </c>
    </row>
    <row r="6" spans="1:2">
      <c r="A6" s="351" t="s">
        <v>25</v>
      </c>
      <c r="B6" s="172" t="s">
        <v>633</v>
      </c>
    </row>
  </sheetData>
  <hyperlinks>
    <hyperlink ref="B6" r:id="rId1" display="C:\Users\NEDA\AppData\Local\Microsoft\Windows\INetCache\Content.Outlook\M4FJ3SU5\ESCWA Handbook on the Gender Indicator Framework 2023" xr:uid="{327E9B63-7C83-449B-AB06-EC42BEB64D03}"/>
  </hyperlinks>
  <pageMargins left="0.7" right="0.7" top="0.75" bottom="0.75" header="0.3" footer="0.3"/>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9E6D7-2499-49B9-A15C-0A42AB03CCDA}">
  <sheetPr>
    <tabColor theme="0" tint="-0.499984740745262"/>
  </sheetPr>
  <dimension ref="A1:AK30"/>
  <sheetViews>
    <sheetView showGridLines="0" zoomScale="70" zoomScaleNormal="70" workbookViewId="0">
      <pane xSplit="1" ySplit="1" topLeftCell="B2" activePane="bottomRight" state="frozen"/>
      <selection pane="topRight" activeCell="B1" sqref="B1"/>
      <selection pane="bottomLeft" activeCell="A2" sqref="A2"/>
      <selection pane="bottomRight" activeCell="A24" sqref="A24"/>
    </sheetView>
  </sheetViews>
  <sheetFormatPr defaultRowHeight="14.5"/>
  <cols>
    <col min="1" max="1" width="11.54296875" style="240" customWidth="1"/>
    <col min="2" max="6" width="0" style="240" hidden="1" customWidth="1"/>
    <col min="7" max="7" width="12.453125" style="240" customWidth="1"/>
    <col min="8" max="8" width="0" style="240" hidden="1" customWidth="1"/>
    <col min="9" max="9" width="12.453125" style="240" customWidth="1"/>
    <col min="10" max="10" width="11" style="240" customWidth="1"/>
    <col min="11" max="37" width="8.81640625" style="240"/>
  </cols>
  <sheetData>
    <row r="1" spans="1:10" customFormat="1" ht="55.5">
      <c r="A1" s="28" t="s">
        <v>640</v>
      </c>
      <c r="B1" s="367" t="s">
        <v>554</v>
      </c>
      <c r="C1" s="367" t="s">
        <v>555</v>
      </c>
      <c r="D1" s="367" t="s">
        <v>556</v>
      </c>
      <c r="E1" s="367" t="s">
        <v>557</v>
      </c>
      <c r="F1" s="367" t="s">
        <v>558</v>
      </c>
      <c r="G1" s="28" t="s">
        <v>559</v>
      </c>
      <c r="H1" s="367" t="s">
        <v>560</v>
      </c>
      <c r="I1" s="28" t="s">
        <v>561</v>
      </c>
      <c r="J1" s="28" t="s">
        <v>562</v>
      </c>
    </row>
    <row r="2" spans="1:10">
      <c r="A2" s="306" t="s">
        <v>51</v>
      </c>
      <c r="B2" s="134">
        <v>60</v>
      </c>
      <c r="C2" s="134">
        <v>33</v>
      </c>
      <c r="D2" s="134">
        <v>47</v>
      </c>
      <c r="E2" s="134">
        <f t="shared" ref="E2:E23" si="0">D2-C2</f>
        <v>14</v>
      </c>
      <c r="F2" s="134">
        <f t="shared" ref="F2:F23" si="1">B2-D2</f>
        <v>13</v>
      </c>
      <c r="G2" s="368">
        <f t="shared" ref="G2:G23" si="2">C2/$B2</f>
        <v>0.55000000000000004</v>
      </c>
      <c r="H2" s="147">
        <f t="shared" ref="H2:H23" si="3">E2/$B2</f>
        <v>0.23333333333333334</v>
      </c>
      <c r="I2" s="147">
        <f>G2+H2</f>
        <v>0.78333333333333344</v>
      </c>
      <c r="J2" s="147">
        <f t="shared" ref="J2:J23" si="4">F2/$B2</f>
        <v>0.21666666666666667</v>
      </c>
    </row>
    <row r="3" spans="1:10">
      <c r="A3" s="306" t="s">
        <v>42</v>
      </c>
      <c r="B3" s="134">
        <v>60</v>
      </c>
      <c r="C3" s="134">
        <v>31</v>
      </c>
      <c r="D3" s="134">
        <v>48</v>
      </c>
      <c r="E3" s="134">
        <f t="shared" si="0"/>
        <v>17</v>
      </c>
      <c r="F3" s="134">
        <f t="shared" si="1"/>
        <v>12</v>
      </c>
      <c r="G3" s="368">
        <f t="shared" si="2"/>
        <v>0.51666666666666672</v>
      </c>
      <c r="H3" s="147">
        <f t="shared" si="3"/>
        <v>0.28333333333333333</v>
      </c>
      <c r="I3" s="147">
        <f t="shared" ref="I3:I24" si="5">G3+H3</f>
        <v>0.8</v>
      </c>
      <c r="J3" s="147">
        <f t="shared" si="4"/>
        <v>0.2</v>
      </c>
    </row>
    <row r="4" spans="1:10">
      <c r="A4" s="306" t="s">
        <v>32</v>
      </c>
      <c r="B4" s="134">
        <v>60</v>
      </c>
      <c r="C4" s="134">
        <v>31</v>
      </c>
      <c r="D4" s="134">
        <v>44</v>
      </c>
      <c r="E4" s="134">
        <f t="shared" si="0"/>
        <v>13</v>
      </c>
      <c r="F4" s="134">
        <f t="shared" si="1"/>
        <v>16</v>
      </c>
      <c r="G4" s="368">
        <f t="shared" si="2"/>
        <v>0.51666666666666672</v>
      </c>
      <c r="H4" s="147">
        <f t="shared" si="3"/>
        <v>0.21666666666666667</v>
      </c>
      <c r="I4" s="147">
        <f t="shared" si="5"/>
        <v>0.73333333333333339</v>
      </c>
      <c r="J4" s="147">
        <f t="shared" si="4"/>
        <v>0.26666666666666666</v>
      </c>
    </row>
    <row r="5" spans="1:10">
      <c r="A5" s="306" t="s">
        <v>33</v>
      </c>
      <c r="B5" s="134">
        <v>60</v>
      </c>
      <c r="C5" s="134">
        <v>30</v>
      </c>
      <c r="D5" s="134">
        <v>46</v>
      </c>
      <c r="E5" s="134">
        <f t="shared" si="0"/>
        <v>16</v>
      </c>
      <c r="F5" s="134">
        <f t="shared" si="1"/>
        <v>14</v>
      </c>
      <c r="G5" s="368">
        <f t="shared" si="2"/>
        <v>0.5</v>
      </c>
      <c r="H5" s="147">
        <f t="shared" si="3"/>
        <v>0.26666666666666666</v>
      </c>
      <c r="I5" s="147">
        <f t="shared" si="5"/>
        <v>0.76666666666666661</v>
      </c>
      <c r="J5" s="147">
        <f t="shared" si="4"/>
        <v>0.23333333333333334</v>
      </c>
    </row>
    <row r="6" spans="1:10">
      <c r="A6" s="306" t="s">
        <v>40</v>
      </c>
      <c r="B6" s="134">
        <v>60</v>
      </c>
      <c r="C6" s="134">
        <v>28</v>
      </c>
      <c r="D6" s="134">
        <v>40</v>
      </c>
      <c r="E6" s="134">
        <f t="shared" si="0"/>
        <v>12</v>
      </c>
      <c r="F6" s="134">
        <f t="shared" si="1"/>
        <v>20</v>
      </c>
      <c r="G6" s="368">
        <f t="shared" si="2"/>
        <v>0.46666666666666667</v>
      </c>
      <c r="H6" s="147">
        <f t="shared" si="3"/>
        <v>0.2</v>
      </c>
      <c r="I6" s="147">
        <f t="shared" si="5"/>
        <v>0.66666666666666674</v>
      </c>
      <c r="J6" s="147">
        <f t="shared" si="4"/>
        <v>0.33333333333333331</v>
      </c>
    </row>
    <row r="7" spans="1:10">
      <c r="A7" s="306" t="s">
        <v>43</v>
      </c>
      <c r="B7" s="134">
        <v>60</v>
      </c>
      <c r="C7" s="134">
        <v>26</v>
      </c>
      <c r="D7" s="134">
        <v>43</v>
      </c>
      <c r="E7" s="134">
        <f t="shared" si="0"/>
        <v>17</v>
      </c>
      <c r="F7" s="134">
        <f t="shared" si="1"/>
        <v>17</v>
      </c>
      <c r="G7" s="368">
        <f t="shared" si="2"/>
        <v>0.43333333333333335</v>
      </c>
      <c r="H7" s="147">
        <f t="shared" si="3"/>
        <v>0.28333333333333333</v>
      </c>
      <c r="I7" s="147">
        <f t="shared" si="5"/>
        <v>0.71666666666666667</v>
      </c>
      <c r="J7" s="147">
        <f t="shared" si="4"/>
        <v>0.28333333333333333</v>
      </c>
    </row>
    <row r="8" spans="1:10">
      <c r="A8" s="306" t="s">
        <v>45</v>
      </c>
      <c r="B8" s="134">
        <v>60</v>
      </c>
      <c r="C8" s="134">
        <v>26</v>
      </c>
      <c r="D8" s="134">
        <v>42</v>
      </c>
      <c r="E8" s="134">
        <f t="shared" si="0"/>
        <v>16</v>
      </c>
      <c r="F8" s="134">
        <f t="shared" si="1"/>
        <v>18</v>
      </c>
      <c r="G8" s="368">
        <f t="shared" si="2"/>
        <v>0.43333333333333335</v>
      </c>
      <c r="H8" s="147">
        <f t="shared" si="3"/>
        <v>0.26666666666666666</v>
      </c>
      <c r="I8" s="147">
        <f t="shared" si="5"/>
        <v>0.7</v>
      </c>
      <c r="J8" s="147">
        <f t="shared" si="4"/>
        <v>0.3</v>
      </c>
    </row>
    <row r="9" spans="1:10">
      <c r="A9" s="306" t="s">
        <v>35</v>
      </c>
      <c r="B9" s="134">
        <v>60</v>
      </c>
      <c r="C9" s="134">
        <v>25</v>
      </c>
      <c r="D9" s="134">
        <v>39</v>
      </c>
      <c r="E9" s="134">
        <f t="shared" si="0"/>
        <v>14</v>
      </c>
      <c r="F9" s="134">
        <f t="shared" si="1"/>
        <v>21</v>
      </c>
      <c r="G9" s="368">
        <f t="shared" si="2"/>
        <v>0.41666666666666669</v>
      </c>
      <c r="H9" s="147">
        <f t="shared" si="3"/>
        <v>0.23333333333333334</v>
      </c>
      <c r="I9" s="147">
        <f t="shared" si="5"/>
        <v>0.65</v>
      </c>
      <c r="J9" s="147">
        <f t="shared" si="4"/>
        <v>0.35</v>
      </c>
    </row>
    <row r="10" spans="1:10">
      <c r="A10" s="306" t="s">
        <v>52</v>
      </c>
      <c r="B10" s="134">
        <v>60</v>
      </c>
      <c r="C10" s="134">
        <v>25</v>
      </c>
      <c r="D10" s="134">
        <v>39</v>
      </c>
      <c r="E10" s="134">
        <f t="shared" si="0"/>
        <v>14</v>
      </c>
      <c r="F10" s="134">
        <f t="shared" si="1"/>
        <v>21</v>
      </c>
      <c r="G10" s="368">
        <f t="shared" si="2"/>
        <v>0.41666666666666669</v>
      </c>
      <c r="H10" s="147">
        <f t="shared" si="3"/>
        <v>0.23333333333333334</v>
      </c>
      <c r="I10" s="147">
        <f t="shared" si="5"/>
        <v>0.65</v>
      </c>
      <c r="J10" s="147">
        <f t="shared" si="4"/>
        <v>0.35</v>
      </c>
    </row>
    <row r="11" spans="1:10">
      <c r="A11" s="306" t="s">
        <v>36</v>
      </c>
      <c r="B11" s="134">
        <v>60</v>
      </c>
      <c r="C11" s="134">
        <v>25</v>
      </c>
      <c r="D11" s="134">
        <v>38</v>
      </c>
      <c r="E11" s="134">
        <f t="shared" si="0"/>
        <v>13</v>
      </c>
      <c r="F11" s="134">
        <f t="shared" si="1"/>
        <v>22</v>
      </c>
      <c r="G11" s="368">
        <f t="shared" si="2"/>
        <v>0.41666666666666669</v>
      </c>
      <c r="H11" s="147">
        <f t="shared" si="3"/>
        <v>0.21666666666666667</v>
      </c>
      <c r="I11" s="147">
        <f t="shared" si="5"/>
        <v>0.6333333333333333</v>
      </c>
      <c r="J11" s="147">
        <f t="shared" si="4"/>
        <v>0.36666666666666664</v>
      </c>
    </row>
    <row r="12" spans="1:10">
      <c r="A12" s="306" t="s">
        <v>47</v>
      </c>
      <c r="B12" s="134">
        <v>60</v>
      </c>
      <c r="C12" s="134">
        <v>24</v>
      </c>
      <c r="D12" s="134">
        <v>38</v>
      </c>
      <c r="E12" s="134">
        <f t="shared" si="0"/>
        <v>14</v>
      </c>
      <c r="F12" s="134">
        <f t="shared" si="1"/>
        <v>22</v>
      </c>
      <c r="G12" s="368">
        <f t="shared" si="2"/>
        <v>0.4</v>
      </c>
      <c r="H12" s="147">
        <f t="shared" si="3"/>
        <v>0.23333333333333334</v>
      </c>
      <c r="I12" s="147">
        <f t="shared" si="5"/>
        <v>0.6333333333333333</v>
      </c>
      <c r="J12" s="147">
        <f t="shared" si="4"/>
        <v>0.36666666666666664</v>
      </c>
    </row>
    <row r="13" spans="1:10">
      <c r="A13" s="306" t="s">
        <v>105</v>
      </c>
      <c r="B13" s="134">
        <v>60</v>
      </c>
      <c r="C13" s="134">
        <v>24</v>
      </c>
      <c r="D13" s="134">
        <v>36</v>
      </c>
      <c r="E13" s="134">
        <f t="shared" si="0"/>
        <v>12</v>
      </c>
      <c r="F13" s="134">
        <f t="shared" si="1"/>
        <v>24</v>
      </c>
      <c r="G13" s="368">
        <f t="shared" si="2"/>
        <v>0.4</v>
      </c>
      <c r="H13" s="147">
        <f t="shared" si="3"/>
        <v>0.2</v>
      </c>
      <c r="I13" s="147">
        <f t="shared" si="5"/>
        <v>0.60000000000000009</v>
      </c>
      <c r="J13" s="147">
        <f t="shared" si="4"/>
        <v>0.4</v>
      </c>
    </row>
    <row r="14" spans="1:10">
      <c r="A14" s="306" t="s">
        <v>38</v>
      </c>
      <c r="B14" s="134">
        <v>60</v>
      </c>
      <c r="C14" s="134">
        <v>23</v>
      </c>
      <c r="D14" s="134">
        <v>35</v>
      </c>
      <c r="E14" s="134">
        <f t="shared" si="0"/>
        <v>12</v>
      </c>
      <c r="F14" s="134">
        <f t="shared" si="1"/>
        <v>25</v>
      </c>
      <c r="G14" s="368">
        <f t="shared" si="2"/>
        <v>0.38333333333333336</v>
      </c>
      <c r="H14" s="147">
        <f t="shared" si="3"/>
        <v>0.2</v>
      </c>
      <c r="I14" s="147">
        <f t="shared" si="5"/>
        <v>0.58333333333333337</v>
      </c>
      <c r="J14" s="147">
        <f t="shared" si="4"/>
        <v>0.41666666666666669</v>
      </c>
    </row>
    <row r="15" spans="1:10">
      <c r="A15" s="306" t="s">
        <v>46</v>
      </c>
      <c r="B15" s="134">
        <v>60</v>
      </c>
      <c r="C15" s="134">
        <v>22</v>
      </c>
      <c r="D15" s="134">
        <v>37</v>
      </c>
      <c r="E15" s="134">
        <f t="shared" si="0"/>
        <v>15</v>
      </c>
      <c r="F15" s="134">
        <f t="shared" si="1"/>
        <v>23</v>
      </c>
      <c r="G15" s="368">
        <f t="shared" si="2"/>
        <v>0.36666666666666664</v>
      </c>
      <c r="H15" s="147">
        <f t="shared" si="3"/>
        <v>0.25</v>
      </c>
      <c r="I15" s="147">
        <f t="shared" si="5"/>
        <v>0.6166666666666667</v>
      </c>
      <c r="J15" s="147">
        <f t="shared" si="4"/>
        <v>0.38333333333333336</v>
      </c>
    </row>
    <row r="16" spans="1:10">
      <c r="A16" s="306" t="s">
        <v>481</v>
      </c>
      <c r="B16" s="134">
        <v>60</v>
      </c>
      <c r="C16" s="134">
        <v>22</v>
      </c>
      <c r="D16" s="134">
        <v>33</v>
      </c>
      <c r="E16" s="134">
        <f t="shared" si="0"/>
        <v>11</v>
      </c>
      <c r="F16" s="134">
        <f t="shared" si="1"/>
        <v>27</v>
      </c>
      <c r="G16" s="368">
        <f t="shared" si="2"/>
        <v>0.36666666666666664</v>
      </c>
      <c r="H16" s="147">
        <f t="shared" si="3"/>
        <v>0.18333333333333332</v>
      </c>
      <c r="I16" s="147">
        <f t="shared" si="5"/>
        <v>0.54999999999999993</v>
      </c>
      <c r="J16" s="147">
        <f t="shared" si="4"/>
        <v>0.45</v>
      </c>
    </row>
    <row r="17" spans="1:13">
      <c r="A17" s="306" t="s">
        <v>34</v>
      </c>
      <c r="B17" s="134">
        <v>60</v>
      </c>
      <c r="C17" s="134">
        <v>21</v>
      </c>
      <c r="D17" s="134">
        <v>36</v>
      </c>
      <c r="E17" s="134">
        <f t="shared" si="0"/>
        <v>15</v>
      </c>
      <c r="F17" s="134">
        <f t="shared" si="1"/>
        <v>24</v>
      </c>
      <c r="G17" s="368">
        <f t="shared" si="2"/>
        <v>0.35</v>
      </c>
      <c r="H17" s="147">
        <f t="shared" si="3"/>
        <v>0.25</v>
      </c>
      <c r="I17" s="147">
        <f t="shared" si="5"/>
        <v>0.6</v>
      </c>
      <c r="J17" s="147">
        <f t="shared" si="4"/>
        <v>0.4</v>
      </c>
    </row>
    <row r="18" spans="1:13">
      <c r="A18" s="306" t="s">
        <v>49</v>
      </c>
      <c r="B18" s="134">
        <v>60</v>
      </c>
      <c r="C18" s="134">
        <v>21</v>
      </c>
      <c r="D18" s="134">
        <v>34</v>
      </c>
      <c r="E18" s="134">
        <f t="shared" si="0"/>
        <v>13</v>
      </c>
      <c r="F18" s="134">
        <f t="shared" si="1"/>
        <v>26</v>
      </c>
      <c r="G18" s="368">
        <f t="shared" si="2"/>
        <v>0.35</v>
      </c>
      <c r="H18" s="147">
        <f t="shared" si="3"/>
        <v>0.21666666666666667</v>
      </c>
      <c r="I18" s="147">
        <f t="shared" si="5"/>
        <v>0.56666666666666665</v>
      </c>
      <c r="J18" s="147">
        <f t="shared" si="4"/>
        <v>0.43333333333333335</v>
      </c>
    </row>
    <row r="19" spans="1:13">
      <c r="A19" s="306" t="s">
        <v>48</v>
      </c>
      <c r="B19" s="134">
        <v>60</v>
      </c>
      <c r="C19" s="134">
        <v>20</v>
      </c>
      <c r="D19" s="134">
        <v>32</v>
      </c>
      <c r="E19" s="134">
        <f t="shared" si="0"/>
        <v>12</v>
      </c>
      <c r="F19" s="134">
        <f t="shared" si="1"/>
        <v>28</v>
      </c>
      <c r="G19" s="368">
        <f t="shared" si="2"/>
        <v>0.33333333333333331</v>
      </c>
      <c r="H19" s="147">
        <f t="shared" si="3"/>
        <v>0.2</v>
      </c>
      <c r="I19" s="147">
        <f t="shared" si="5"/>
        <v>0.53333333333333333</v>
      </c>
      <c r="J19" s="147">
        <f t="shared" si="4"/>
        <v>0.46666666666666667</v>
      </c>
    </row>
    <row r="20" spans="1:13">
      <c r="A20" s="306" t="s">
        <v>37</v>
      </c>
      <c r="B20" s="134">
        <v>60</v>
      </c>
      <c r="C20" s="134">
        <v>19</v>
      </c>
      <c r="D20" s="134">
        <v>30</v>
      </c>
      <c r="E20" s="134">
        <f t="shared" si="0"/>
        <v>11</v>
      </c>
      <c r="F20" s="134">
        <f t="shared" si="1"/>
        <v>30</v>
      </c>
      <c r="G20" s="368">
        <f t="shared" si="2"/>
        <v>0.31666666666666665</v>
      </c>
      <c r="H20" s="147">
        <f t="shared" si="3"/>
        <v>0.18333333333333332</v>
      </c>
      <c r="I20" s="147">
        <f t="shared" si="5"/>
        <v>0.5</v>
      </c>
      <c r="J20" s="147">
        <f t="shared" si="4"/>
        <v>0.5</v>
      </c>
    </row>
    <row r="21" spans="1:13">
      <c r="A21" s="306" t="s">
        <v>44</v>
      </c>
      <c r="B21" s="134">
        <v>60</v>
      </c>
      <c r="C21" s="134">
        <v>17</v>
      </c>
      <c r="D21" s="134">
        <v>34</v>
      </c>
      <c r="E21" s="134">
        <f t="shared" si="0"/>
        <v>17</v>
      </c>
      <c r="F21" s="134">
        <f t="shared" si="1"/>
        <v>26</v>
      </c>
      <c r="G21" s="368">
        <f t="shared" si="2"/>
        <v>0.28333333333333333</v>
      </c>
      <c r="H21" s="147">
        <f t="shared" si="3"/>
        <v>0.28333333333333333</v>
      </c>
      <c r="I21" s="147">
        <f t="shared" si="5"/>
        <v>0.56666666666666665</v>
      </c>
      <c r="J21" s="147">
        <f t="shared" si="4"/>
        <v>0.43333333333333335</v>
      </c>
    </row>
    <row r="22" spans="1:13">
      <c r="A22" s="306" t="s">
        <v>39</v>
      </c>
      <c r="B22" s="134">
        <v>60</v>
      </c>
      <c r="C22" s="134">
        <v>17</v>
      </c>
      <c r="D22" s="134">
        <v>30</v>
      </c>
      <c r="E22" s="134">
        <f t="shared" si="0"/>
        <v>13</v>
      </c>
      <c r="F22" s="134">
        <f t="shared" si="1"/>
        <v>30</v>
      </c>
      <c r="G22" s="368">
        <f t="shared" si="2"/>
        <v>0.28333333333333333</v>
      </c>
      <c r="H22" s="147">
        <f t="shared" si="3"/>
        <v>0.21666666666666667</v>
      </c>
      <c r="I22" s="147">
        <f t="shared" si="5"/>
        <v>0.5</v>
      </c>
      <c r="J22" s="147">
        <f t="shared" si="4"/>
        <v>0.5</v>
      </c>
    </row>
    <row r="23" spans="1:13">
      <c r="A23" s="306" t="s">
        <v>41</v>
      </c>
      <c r="B23" s="134">
        <v>60</v>
      </c>
      <c r="C23" s="134">
        <v>11</v>
      </c>
      <c r="D23" s="134">
        <v>21</v>
      </c>
      <c r="E23" s="134">
        <f t="shared" si="0"/>
        <v>10</v>
      </c>
      <c r="F23" s="134">
        <f t="shared" si="1"/>
        <v>39</v>
      </c>
      <c r="G23" s="368">
        <f t="shared" si="2"/>
        <v>0.18333333333333332</v>
      </c>
      <c r="H23" s="147">
        <f t="shared" si="3"/>
        <v>0.16666666666666666</v>
      </c>
      <c r="I23" s="147">
        <f t="shared" si="5"/>
        <v>0.35</v>
      </c>
      <c r="J23" s="147">
        <f t="shared" si="4"/>
        <v>0.65</v>
      </c>
    </row>
    <row r="24" spans="1:13">
      <c r="A24" s="380" t="s">
        <v>67</v>
      </c>
      <c r="B24" s="328"/>
      <c r="C24" s="328"/>
      <c r="D24" s="328"/>
      <c r="E24" s="328"/>
      <c r="F24" s="328"/>
      <c r="G24" s="369">
        <f>(SUM(G1:G23)/22)</f>
        <v>0.39469696969696971</v>
      </c>
      <c r="H24" s="370">
        <f t="shared" ref="H24:J24" si="6">(SUM(H1:H23)/22)</f>
        <v>0.22803030303030306</v>
      </c>
      <c r="I24" s="369">
        <f t="shared" si="5"/>
        <v>0.6227272727272728</v>
      </c>
      <c r="J24" s="370">
        <f t="shared" si="6"/>
        <v>0.37727272727272732</v>
      </c>
    </row>
    <row r="27" spans="1:13">
      <c r="M27" s="324" t="s">
        <v>550</v>
      </c>
    </row>
    <row r="30" spans="1:13">
      <c r="A30" s="351" t="s">
        <v>25</v>
      </c>
      <c r="G30" s="172" t="s">
        <v>634</v>
      </c>
    </row>
  </sheetData>
  <autoFilter ref="A1:J24" xr:uid="{9939E6D7-2499-49B9-A15C-0A42AB03CCDA}"/>
  <hyperlinks>
    <hyperlink ref="G30" r:id="rId1" display="https://www.unescwa.org/portal/arab-sdg-monitor" xr:uid="{0F3E4315-36E2-4EA8-B98E-531994C0F0FB}"/>
  </hyperlinks>
  <pageMargins left="0.7" right="0.7" top="0.75" bottom="0.75" header="0.3" footer="0.3"/>
  <ignoredErrors>
    <ignoredError sqref="I24:J24" formula="1"/>
  </ignoredErrors>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EB10C-D20D-41FF-80F5-429E909029EF}">
  <sheetPr>
    <tabColor theme="0" tint="-0.499984740745262"/>
  </sheetPr>
  <dimension ref="A12:AA12"/>
  <sheetViews>
    <sheetView zoomScale="80" zoomScaleNormal="80" workbookViewId="0">
      <selection activeCell="M9" sqref="M9"/>
    </sheetView>
  </sheetViews>
  <sheetFormatPr defaultRowHeight="14.5"/>
  <cols>
    <col min="1" max="27" width="8.81640625" style="240"/>
  </cols>
  <sheetData>
    <row r="12" spans="1:2">
      <c r="A12" s="351" t="s">
        <v>25</v>
      </c>
      <c r="B12" s="172" t="s">
        <v>635</v>
      </c>
    </row>
  </sheetData>
  <hyperlinks>
    <hyperlink ref="B12" r:id="rId1" display="https://www.unescwa.org/portal/arab-sdg-monitor" xr:uid="{B9196622-260A-46E3-9456-91C36BF69781}"/>
  </hyperlinks>
  <pageMargins left="0.7" right="0.7" top="0.75" bottom="0.75" header="0.3" footer="0.3"/>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05BED-ABFA-4604-B2EF-46809CBA0DA0}">
  <sheetPr>
    <tabColor theme="4" tint="0.39997558519241921"/>
  </sheetPr>
  <dimension ref="A1:D26"/>
  <sheetViews>
    <sheetView showGridLines="0" zoomScale="70" zoomScaleNormal="70" workbookViewId="0">
      <pane xSplit="1" ySplit="1" topLeftCell="B2" activePane="bottomRight" state="frozen"/>
      <selection pane="topRight" activeCell="B1" sqref="B1"/>
      <selection pane="bottomLeft" activeCell="A2" sqref="A2"/>
      <selection pane="bottomRight" activeCell="J9" sqref="J9"/>
    </sheetView>
  </sheetViews>
  <sheetFormatPr defaultRowHeight="14.5"/>
  <cols>
    <col min="1" max="1" width="18" bestFit="1" customWidth="1"/>
    <col min="2" max="3" width="25.1796875" customWidth="1"/>
    <col min="4" max="4" width="16.81640625" customWidth="1"/>
  </cols>
  <sheetData>
    <row r="1" spans="1:4" ht="16">
      <c r="A1" s="28" t="s">
        <v>640</v>
      </c>
      <c r="B1" s="356" t="s">
        <v>551</v>
      </c>
      <c r="C1" s="356" t="s">
        <v>552</v>
      </c>
      <c r="D1" s="356" t="s">
        <v>453</v>
      </c>
    </row>
    <row r="2" spans="1:4">
      <c r="A2" s="306" t="s">
        <v>31</v>
      </c>
      <c r="B2" s="269">
        <v>72.935779816513772</v>
      </c>
      <c r="C2" s="269">
        <v>84.927272727272722</v>
      </c>
      <c r="D2" s="35">
        <v>2022</v>
      </c>
    </row>
    <row r="3" spans="1:4">
      <c r="A3" s="306" t="s">
        <v>49</v>
      </c>
      <c r="B3" s="269">
        <v>72.935779816513758</v>
      </c>
      <c r="C3" s="269">
        <v>75.25454545454545</v>
      </c>
      <c r="D3" s="35">
        <v>2022</v>
      </c>
    </row>
    <row r="4" spans="1:4">
      <c r="A4" s="306" t="s">
        <v>51</v>
      </c>
      <c r="B4" s="269">
        <v>68.348623853211009</v>
      </c>
      <c r="C4" s="269">
        <v>74.736363636363635</v>
      </c>
      <c r="D4" s="35">
        <v>2022</v>
      </c>
    </row>
    <row r="5" spans="1:4">
      <c r="A5" s="306" t="s">
        <v>35</v>
      </c>
      <c r="B5" s="269">
        <v>62.844036697247709</v>
      </c>
      <c r="C5" s="269">
        <v>74.609090909090909</v>
      </c>
      <c r="D5" s="35">
        <v>2022</v>
      </c>
    </row>
    <row r="6" spans="1:4">
      <c r="A6" s="306" t="s">
        <v>37</v>
      </c>
      <c r="B6" s="269">
        <v>61.734693877551024</v>
      </c>
      <c r="C6" s="269">
        <v>66.872727272727275</v>
      </c>
      <c r="D6" s="35">
        <v>2022</v>
      </c>
    </row>
    <row r="7" spans="1:4">
      <c r="A7" s="306" t="s">
        <v>43</v>
      </c>
      <c r="B7" s="269">
        <v>58.715596330275233</v>
      </c>
      <c r="C7" s="269">
        <v>72.509090909090915</v>
      </c>
      <c r="D7" s="35">
        <v>2022</v>
      </c>
    </row>
    <row r="8" spans="1:4">
      <c r="A8" s="306" t="s">
        <v>38</v>
      </c>
      <c r="B8" s="269">
        <v>53.669724770642205</v>
      </c>
      <c r="C8" s="269">
        <v>61.463636363636361</v>
      </c>
      <c r="D8" s="35">
        <v>2022</v>
      </c>
    </row>
    <row r="9" spans="1:4">
      <c r="A9" s="306" t="s">
        <v>42</v>
      </c>
      <c r="B9" s="269">
        <v>49.082568807339456</v>
      </c>
      <c r="C9" s="269">
        <v>64.581818181818178</v>
      </c>
      <c r="D9" s="35">
        <v>2022</v>
      </c>
    </row>
    <row r="10" spans="1:4">
      <c r="A10" s="306" t="s">
        <v>32</v>
      </c>
      <c r="B10" s="269">
        <v>44.4954128440367</v>
      </c>
      <c r="C10" s="269">
        <v>37.554545454545455</v>
      </c>
      <c r="D10" s="35">
        <v>2022</v>
      </c>
    </row>
    <row r="11" spans="1:4">
      <c r="A11" s="306" t="s">
        <v>47</v>
      </c>
      <c r="B11" s="269">
        <v>43.119266055045877</v>
      </c>
      <c r="C11" s="269">
        <v>47.272727272727273</v>
      </c>
      <c r="D11" s="35">
        <v>2022</v>
      </c>
    </row>
    <row r="12" spans="1:4">
      <c r="A12" s="306" t="s">
        <v>39</v>
      </c>
      <c r="B12" s="269">
        <v>40.825688073394502</v>
      </c>
      <c r="C12" s="269">
        <v>28.327272727272728</v>
      </c>
      <c r="D12" s="35">
        <v>2022</v>
      </c>
    </row>
    <row r="13" spans="1:4">
      <c r="A13" s="306" t="s">
        <v>52</v>
      </c>
      <c r="B13" s="269">
        <v>40.366972477064223</v>
      </c>
      <c r="C13" s="269">
        <v>37.090909090909086</v>
      </c>
      <c r="D13" s="35">
        <v>2022</v>
      </c>
    </row>
    <row r="14" spans="1:4">
      <c r="A14" s="306" t="s">
        <v>48</v>
      </c>
      <c r="B14" s="269">
        <v>38.073394495412849</v>
      </c>
      <c r="C14" s="269">
        <v>44.609090909090909</v>
      </c>
      <c r="D14" s="35">
        <v>2022</v>
      </c>
    </row>
    <row r="15" spans="1:4">
      <c r="A15" s="306" t="s">
        <v>33</v>
      </c>
      <c r="B15" s="269">
        <v>36.238532110091747</v>
      </c>
      <c r="C15" s="269">
        <v>43.990909090909092</v>
      </c>
      <c r="D15" s="35">
        <v>2022</v>
      </c>
    </row>
    <row r="16" spans="1:4">
      <c r="A16" s="306" t="s">
        <v>36</v>
      </c>
      <c r="B16" s="269">
        <v>32.568807339449542</v>
      </c>
      <c r="C16" s="269">
        <v>50.045454545454547</v>
      </c>
      <c r="D16" s="35">
        <v>2022</v>
      </c>
    </row>
    <row r="17" spans="1:4">
      <c r="A17" s="306" t="s">
        <v>34</v>
      </c>
      <c r="B17" s="269">
        <v>29.816513761467892</v>
      </c>
      <c r="C17" s="269">
        <v>31.281818181818181</v>
      </c>
      <c r="D17" s="35">
        <v>2022</v>
      </c>
    </row>
    <row r="18" spans="1:4">
      <c r="A18" s="306" t="s">
        <v>46</v>
      </c>
      <c r="B18" s="269">
        <v>27.064220183486242</v>
      </c>
      <c r="C18" s="269">
        <v>37.890909090909091</v>
      </c>
      <c r="D18" s="35">
        <v>2022</v>
      </c>
    </row>
    <row r="19" spans="1:4">
      <c r="A19" s="306" t="s">
        <v>162</v>
      </c>
      <c r="B19" s="269">
        <v>21.100917431192663</v>
      </c>
      <c r="C19" s="269">
        <v>21.390909090909091</v>
      </c>
      <c r="D19" s="35">
        <v>2022</v>
      </c>
    </row>
    <row r="20" spans="1:4">
      <c r="A20" s="306" t="s">
        <v>45</v>
      </c>
      <c r="B20" s="269">
        <v>20.642201834862387</v>
      </c>
      <c r="C20" s="269">
        <v>39.118181818181817</v>
      </c>
      <c r="D20" s="35">
        <v>2022</v>
      </c>
    </row>
    <row r="21" spans="1:4">
      <c r="A21" s="306" t="s">
        <v>41</v>
      </c>
      <c r="B21" s="269">
        <v>16.513761467889911</v>
      </c>
      <c r="C21" s="269">
        <v>28.872727272727271</v>
      </c>
      <c r="D21" s="35">
        <v>2022</v>
      </c>
    </row>
    <row r="22" spans="1:4">
      <c r="A22" s="380" t="s">
        <v>553</v>
      </c>
      <c r="B22" s="269">
        <f>MEDIAN(B2:B21)</f>
        <v>41.972477064220186</v>
      </c>
      <c r="C22" s="269">
        <f>MEDIAN(C2:C21)</f>
        <v>45.940909090909088</v>
      </c>
      <c r="D22" s="35">
        <v>2022</v>
      </c>
    </row>
    <row r="26" spans="1:4">
      <c r="A26" s="172" t="s">
        <v>644</v>
      </c>
    </row>
  </sheetData>
  <autoFilter ref="A1:D21" xr:uid="{22E05BED-ABFA-4604-B2EF-46809CBA0DA0}">
    <sortState xmlns:xlrd2="http://schemas.microsoft.com/office/spreadsheetml/2017/richdata2" ref="A2:D21">
      <sortCondition descending="1" ref="B2:B21"/>
    </sortState>
  </autoFilter>
  <hyperlinks>
    <hyperlink ref="A26" r:id="rId1" xr:uid="{66692430-E0FE-4EFD-AA67-A73DE9F5A9BE}"/>
  </hyperlinks>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0CE01-CD5D-4437-AC7C-447A7931DD3B}">
  <dimension ref="A1:C15"/>
  <sheetViews>
    <sheetView workbookViewId="0">
      <selection activeCell="A3" sqref="A3:A4"/>
    </sheetView>
  </sheetViews>
  <sheetFormatPr defaultRowHeight="14.5"/>
  <cols>
    <col min="1" max="1" width="85.08984375" customWidth="1"/>
    <col min="2" max="2" width="63" customWidth="1"/>
    <col min="3" max="3" width="29.36328125" customWidth="1"/>
  </cols>
  <sheetData>
    <row r="1" spans="1:3">
      <c r="A1" s="396" t="s">
        <v>680</v>
      </c>
      <c r="B1" s="397"/>
      <c r="C1" s="398"/>
    </row>
    <row r="2" spans="1:3" ht="29">
      <c r="A2" s="399" t="s">
        <v>681</v>
      </c>
      <c r="B2" s="399" t="s">
        <v>682</v>
      </c>
      <c r="C2" s="400" t="s">
        <v>683</v>
      </c>
    </row>
    <row r="3" spans="1:3" ht="58">
      <c r="A3" s="540" t="s">
        <v>684</v>
      </c>
      <c r="B3" s="399" t="s">
        <v>685</v>
      </c>
      <c r="C3" s="400" t="s">
        <v>683</v>
      </c>
    </row>
    <row r="4" spans="1:3" ht="43.5">
      <c r="A4" s="541"/>
      <c r="B4" s="401" t="s">
        <v>686</v>
      </c>
      <c r="C4" s="402" t="s">
        <v>687</v>
      </c>
    </row>
    <row r="5" spans="1:3" ht="29">
      <c r="A5" s="540" t="s">
        <v>688</v>
      </c>
      <c r="B5" s="399" t="s">
        <v>689</v>
      </c>
      <c r="C5" s="400" t="s">
        <v>683</v>
      </c>
    </row>
    <row r="6" spans="1:3" ht="29">
      <c r="A6" s="541"/>
      <c r="B6" s="399" t="s">
        <v>690</v>
      </c>
      <c r="C6" s="400" t="s">
        <v>683</v>
      </c>
    </row>
    <row r="7" spans="1:3" ht="43.5">
      <c r="A7" s="399" t="s">
        <v>691</v>
      </c>
      <c r="B7" s="399" t="s">
        <v>692</v>
      </c>
      <c r="C7" s="400" t="s">
        <v>683</v>
      </c>
    </row>
    <row r="8" spans="1:3">
      <c r="A8" s="542" t="s">
        <v>693</v>
      </c>
      <c r="B8" s="403" t="s">
        <v>694</v>
      </c>
      <c r="C8" s="404" t="s">
        <v>695</v>
      </c>
    </row>
    <row r="9" spans="1:3">
      <c r="A9" s="543"/>
      <c r="B9" s="403" t="s">
        <v>696</v>
      </c>
      <c r="C9" s="404" t="s">
        <v>695</v>
      </c>
    </row>
    <row r="10" spans="1:3" ht="43.5">
      <c r="A10" s="540" t="s">
        <v>697</v>
      </c>
      <c r="B10" s="399" t="s">
        <v>698</v>
      </c>
      <c r="C10" s="400" t="s">
        <v>683</v>
      </c>
    </row>
    <row r="11" spans="1:3" ht="43.5">
      <c r="A11" s="541"/>
      <c r="B11" s="399" t="s">
        <v>699</v>
      </c>
      <c r="C11" s="400" t="s">
        <v>683</v>
      </c>
    </row>
    <row r="12" spans="1:3" ht="43.5">
      <c r="A12" s="540" t="s">
        <v>700</v>
      </c>
      <c r="B12" s="399" t="s">
        <v>701</v>
      </c>
      <c r="C12" s="400" t="s">
        <v>683</v>
      </c>
    </row>
    <row r="13" spans="1:3" ht="43.5">
      <c r="A13" s="541"/>
      <c r="B13" s="399" t="s">
        <v>702</v>
      </c>
      <c r="C13" s="400" t="s">
        <v>683</v>
      </c>
    </row>
    <row r="14" spans="1:3" ht="29">
      <c r="A14" s="403" t="s">
        <v>703</v>
      </c>
      <c r="B14" s="403" t="s">
        <v>704</v>
      </c>
      <c r="C14" s="404" t="s">
        <v>695</v>
      </c>
    </row>
    <row r="15" spans="1:3" ht="29">
      <c r="A15" s="399" t="s">
        <v>705</v>
      </c>
      <c r="B15" s="399" t="s">
        <v>706</v>
      </c>
      <c r="C15" s="400" t="s">
        <v>683</v>
      </c>
    </row>
  </sheetData>
  <mergeCells count="5">
    <mergeCell ref="A3:A4"/>
    <mergeCell ref="A5:A6"/>
    <mergeCell ref="A8:A9"/>
    <mergeCell ref="A10:A11"/>
    <mergeCell ref="A12:A13"/>
  </mergeCells>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AB26-FBF1-4AB0-A18F-D4C75EBB54F2}">
  <dimension ref="A1:K28"/>
  <sheetViews>
    <sheetView workbookViewId="0">
      <selection activeCell="J7" sqref="J7"/>
    </sheetView>
  </sheetViews>
  <sheetFormatPr defaultRowHeight="14.5"/>
  <sheetData>
    <row r="1" spans="1:11" ht="27.5" thickBot="1">
      <c r="A1" s="405" t="s">
        <v>707</v>
      </c>
      <c r="B1" s="406" t="s">
        <v>708</v>
      </c>
      <c r="C1" s="406" t="s">
        <v>709</v>
      </c>
      <c r="D1" s="407"/>
      <c r="E1" s="551"/>
      <c r="F1" s="552"/>
      <c r="G1" s="406" t="s">
        <v>707</v>
      </c>
      <c r="H1" s="406" t="s">
        <v>708</v>
      </c>
      <c r="I1" s="406" t="s">
        <v>709</v>
      </c>
      <c r="J1" s="407"/>
      <c r="K1" s="407"/>
    </row>
    <row r="2" spans="1:11" ht="27.5" thickBot="1">
      <c r="A2" s="408" t="s">
        <v>710</v>
      </c>
      <c r="B2" s="411" t="s">
        <v>398</v>
      </c>
      <c r="C2" s="413">
        <v>1.1000000000000001</v>
      </c>
      <c r="D2" s="415">
        <v>1.2</v>
      </c>
      <c r="E2" s="413">
        <v>1.3</v>
      </c>
      <c r="F2" s="416">
        <v>1.4</v>
      </c>
      <c r="G2" s="417" t="s">
        <v>712</v>
      </c>
      <c r="H2" s="411" t="s">
        <v>398</v>
      </c>
      <c r="I2" s="415">
        <v>6.1</v>
      </c>
      <c r="J2" s="413">
        <v>6.2</v>
      </c>
      <c r="K2" s="411"/>
    </row>
    <row r="3" spans="1:11" ht="27.5" thickBot="1">
      <c r="A3" s="408" t="s">
        <v>711</v>
      </c>
      <c r="B3" s="411" t="s">
        <v>714</v>
      </c>
      <c r="C3" s="419">
        <v>1.1000000000000001</v>
      </c>
      <c r="D3" s="419">
        <v>1.2</v>
      </c>
      <c r="E3" s="413">
        <v>1.3</v>
      </c>
      <c r="F3" s="420">
        <v>1.4</v>
      </c>
      <c r="G3" s="417" t="s">
        <v>713</v>
      </c>
      <c r="H3" s="411" t="s">
        <v>714</v>
      </c>
      <c r="I3" s="415" t="s">
        <v>715</v>
      </c>
      <c r="J3" s="415">
        <v>6.2</v>
      </c>
      <c r="K3" s="411"/>
    </row>
    <row r="4" spans="1:11" ht="15" thickBot="1">
      <c r="A4" s="409"/>
      <c r="B4" s="411" t="s">
        <v>716</v>
      </c>
      <c r="C4" s="413">
        <v>1.1000000000000001</v>
      </c>
      <c r="D4" s="413">
        <v>1.2</v>
      </c>
      <c r="E4" s="413">
        <v>1.3</v>
      </c>
      <c r="F4" s="421">
        <v>1.4</v>
      </c>
      <c r="G4" s="418"/>
      <c r="H4" s="411" t="s">
        <v>716</v>
      </c>
      <c r="I4" s="413" t="s">
        <v>715</v>
      </c>
      <c r="J4" s="413">
        <v>6.2</v>
      </c>
      <c r="K4" s="411"/>
    </row>
    <row r="5" spans="1:11" ht="15" thickBot="1">
      <c r="A5" s="409"/>
      <c r="B5" s="411" t="s">
        <v>717</v>
      </c>
      <c r="C5" s="419">
        <v>1.1000000000000001</v>
      </c>
      <c r="D5" s="415">
        <v>1.2</v>
      </c>
      <c r="E5" s="413">
        <v>1.3</v>
      </c>
      <c r="F5" s="416">
        <v>1.4</v>
      </c>
      <c r="G5" s="418"/>
      <c r="H5" s="411" t="s">
        <v>717</v>
      </c>
      <c r="I5" s="422">
        <v>6.1</v>
      </c>
      <c r="J5" s="413">
        <v>6.2</v>
      </c>
      <c r="K5" s="411"/>
    </row>
    <row r="6" spans="1:11" ht="15" thickBot="1">
      <c r="A6" s="410"/>
      <c r="B6" s="411" t="s">
        <v>718</v>
      </c>
      <c r="C6" s="413">
        <v>1.1000000000000001</v>
      </c>
      <c r="D6" s="415">
        <v>1.3</v>
      </c>
      <c r="E6" s="413">
        <v>1.3</v>
      </c>
      <c r="F6" s="420">
        <v>1.4</v>
      </c>
      <c r="G6" s="412"/>
      <c r="H6" s="411" t="s">
        <v>718</v>
      </c>
      <c r="I6" s="415" t="s">
        <v>719</v>
      </c>
      <c r="J6" s="415">
        <v>6.2</v>
      </c>
      <c r="K6" s="411"/>
    </row>
    <row r="7" spans="1:11" ht="27.5" thickBot="1">
      <c r="A7" s="408" t="s">
        <v>720</v>
      </c>
      <c r="B7" s="411" t="s">
        <v>398</v>
      </c>
      <c r="C7" s="413">
        <v>2.1</v>
      </c>
      <c r="D7" s="413">
        <v>2.2000000000000002</v>
      </c>
      <c r="E7" s="415" t="s">
        <v>722</v>
      </c>
      <c r="F7" s="411"/>
      <c r="G7" s="423" t="s">
        <v>723</v>
      </c>
      <c r="H7" s="411" t="s">
        <v>398</v>
      </c>
      <c r="I7" s="415">
        <v>7.1</v>
      </c>
      <c r="J7" s="411"/>
      <c r="K7" s="411"/>
    </row>
    <row r="8" spans="1:11" ht="27.5" thickBot="1">
      <c r="A8" s="408" t="s">
        <v>721</v>
      </c>
      <c r="B8" s="411" t="s">
        <v>714</v>
      </c>
      <c r="C8" s="413">
        <v>2.1</v>
      </c>
      <c r="D8" s="415">
        <v>2.2000000000000002</v>
      </c>
      <c r="E8" s="413" t="s">
        <v>722</v>
      </c>
      <c r="F8" s="411"/>
      <c r="G8" s="423" t="s">
        <v>724</v>
      </c>
      <c r="H8" s="411" t="s">
        <v>714</v>
      </c>
      <c r="I8" s="419">
        <v>7.1</v>
      </c>
      <c r="J8" s="411"/>
      <c r="K8" s="411"/>
    </row>
    <row r="9" spans="1:11" ht="15" thickBot="1">
      <c r="A9" s="409"/>
      <c r="B9" s="411" t="s">
        <v>716</v>
      </c>
      <c r="C9" s="413">
        <v>2.1</v>
      </c>
      <c r="D9" s="413">
        <v>2.2000000000000002</v>
      </c>
      <c r="E9" s="415" t="s">
        <v>722</v>
      </c>
      <c r="F9" s="411"/>
      <c r="G9" s="424"/>
      <c r="H9" s="411" t="s">
        <v>716</v>
      </c>
      <c r="I9" s="413">
        <v>7.1</v>
      </c>
      <c r="J9" s="411"/>
      <c r="K9" s="411"/>
    </row>
    <row r="10" spans="1:11" ht="15" thickBot="1">
      <c r="A10" s="409"/>
      <c r="B10" s="411" t="s">
        <v>717</v>
      </c>
      <c r="C10" s="413">
        <v>2.1</v>
      </c>
      <c r="D10" s="413">
        <v>2.2000000000000002</v>
      </c>
      <c r="E10" s="415" t="s">
        <v>722</v>
      </c>
      <c r="F10" s="411"/>
      <c r="G10" s="424"/>
      <c r="H10" s="411" t="s">
        <v>717</v>
      </c>
      <c r="I10" s="419">
        <v>7.1</v>
      </c>
      <c r="J10" s="411"/>
      <c r="K10" s="411"/>
    </row>
    <row r="11" spans="1:11" ht="15" thickBot="1">
      <c r="A11" s="410"/>
      <c r="B11" s="411" t="s">
        <v>718</v>
      </c>
      <c r="C11" s="413">
        <v>2.1</v>
      </c>
      <c r="D11" s="415">
        <v>2.2000000000000002</v>
      </c>
      <c r="E11" s="415" t="s">
        <v>722</v>
      </c>
      <c r="F11" s="411"/>
      <c r="G11" s="414"/>
      <c r="H11" s="411" t="s">
        <v>718</v>
      </c>
      <c r="I11" s="419">
        <v>7.1</v>
      </c>
      <c r="J11" s="411"/>
      <c r="K11" s="411"/>
    </row>
    <row r="12" spans="1:11" ht="27.5" thickBot="1">
      <c r="A12" s="425" t="s">
        <v>725</v>
      </c>
      <c r="B12" s="411" t="s">
        <v>398</v>
      </c>
      <c r="C12" s="415">
        <v>3.1</v>
      </c>
      <c r="D12" s="415">
        <v>3.4</v>
      </c>
      <c r="E12" s="413">
        <v>3.7</v>
      </c>
      <c r="F12" s="415">
        <v>3.8</v>
      </c>
      <c r="G12" s="417" t="s">
        <v>727</v>
      </c>
      <c r="H12" s="411" t="s">
        <v>398</v>
      </c>
      <c r="I12" s="413">
        <v>8.5</v>
      </c>
      <c r="J12" s="413">
        <v>8.6</v>
      </c>
      <c r="K12" s="413">
        <v>8.1</v>
      </c>
    </row>
    <row r="13" spans="1:11" ht="27.5" thickBot="1">
      <c r="A13" s="425" t="s">
        <v>726</v>
      </c>
      <c r="B13" s="411" t="s">
        <v>714</v>
      </c>
      <c r="C13" s="419">
        <v>3.1</v>
      </c>
      <c r="D13" s="415">
        <v>3.4</v>
      </c>
      <c r="E13" s="415">
        <v>3.7</v>
      </c>
      <c r="F13" s="415">
        <v>3.8</v>
      </c>
      <c r="G13" s="417" t="s">
        <v>728</v>
      </c>
      <c r="H13" s="411" t="s">
        <v>714</v>
      </c>
      <c r="I13" s="413">
        <v>8.5</v>
      </c>
      <c r="J13" s="413">
        <v>8.6</v>
      </c>
      <c r="K13" s="415">
        <v>8.1</v>
      </c>
    </row>
    <row r="14" spans="1:11" ht="15" thickBot="1">
      <c r="A14" s="426"/>
      <c r="B14" s="411" t="s">
        <v>716</v>
      </c>
      <c r="C14" s="415">
        <v>3.1</v>
      </c>
      <c r="D14" s="415">
        <v>3.4</v>
      </c>
      <c r="E14" s="413">
        <v>3.7</v>
      </c>
      <c r="F14" s="413">
        <v>3.8</v>
      </c>
      <c r="G14" s="418"/>
      <c r="H14" s="411" t="s">
        <v>716</v>
      </c>
      <c r="I14" s="413">
        <v>8.5</v>
      </c>
      <c r="J14" s="413">
        <v>8.6</v>
      </c>
      <c r="K14" s="413">
        <v>8.1</v>
      </c>
    </row>
    <row r="15" spans="1:11" ht="15" thickBot="1">
      <c r="A15" s="426"/>
      <c r="B15" s="411" t="s">
        <v>717</v>
      </c>
      <c r="C15" s="419">
        <v>3.1</v>
      </c>
      <c r="D15" s="415">
        <v>3.4</v>
      </c>
      <c r="E15" s="415">
        <v>3.7</v>
      </c>
      <c r="F15" s="415">
        <v>3.8</v>
      </c>
      <c r="G15" s="418"/>
      <c r="H15" s="411" t="s">
        <v>717</v>
      </c>
      <c r="I15" s="413">
        <v>8.5</v>
      </c>
      <c r="J15" s="413">
        <v>8.6</v>
      </c>
      <c r="K15" s="413" t="s">
        <v>729</v>
      </c>
    </row>
    <row r="16" spans="1:11" ht="15" thickBot="1">
      <c r="A16" s="427"/>
      <c r="B16" s="411" t="s">
        <v>718</v>
      </c>
      <c r="C16" s="419">
        <v>3.1</v>
      </c>
      <c r="D16" s="415">
        <v>3.4</v>
      </c>
      <c r="E16" s="415">
        <v>3.7</v>
      </c>
      <c r="F16" s="415">
        <v>3.8</v>
      </c>
      <c r="G16" s="412"/>
      <c r="H16" s="411" t="s">
        <v>718</v>
      </c>
      <c r="I16" s="413">
        <v>8.5</v>
      </c>
      <c r="J16" s="413">
        <v>8.6</v>
      </c>
      <c r="K16" s="413">
        <v>8.1</v>
      </c>
    </row>
    <row r="17" spans="1:11" ht="27">
      <c r="A17" s="425" t="s">
        <v>730</v>
      </c>
      <c r="B17" s="544" t="s">
        <v>398</v>
      </c>
      <c r="C17" s="553">
        <v>4.0999999999999996</v>
      </c>
      <c r="D17" s="555">
        <v>4.2</v>
      </c>
      <c r="E17" s="553">
        <v>4.5</v>
      </c>
      <c r="F17" s="546" t="s">
        <v>732</v>
      </c>
      <c r="G17" s="423" t="s">
        <v>733</v>
      </c>
      <c r="H17" s="544" t="s">
        <v>398</v>
      </c>
      <c r="I17" s="546" t="s">
        <v>735</v>
      </c>
      <c r="J17" s="546" t="s">
        <v>736</v>
      </c>
      <c r="K17" s="544"/>
    </row>
    <row r="18" spans="1:11" ht="36.5" thickBot="1">
      <c r="A18" s="425" t="s">
        <v>731</v>
      </c>
      <c r="B18" s="545"/>
      <c r="C18" s="554"/>
      <c r="D18" s="556"/>
      <c r="E18" s="554"/>
      <c r="F18" s="547"/>
      <c r="G18" s="415" t="s">
        <v>734</v>
      </c>
      <c r="H18" s="545"/>
      <c r="I18" s="547"/>
      <c r="J18" s="547"/>
      <c r="K18" s="545"/>
    </row>
    <row r="19" spans="1:11" ht="27.5" thickBot="1">
      <c r="A19" s="426"/>
      <c r="B19" s="411" t="s">
        <v>714</v>
      </c>
      <c r="C19" s="419" t="s">
        <v>737</v>
      </c>
      <c r="D19" s="415">
        <v>4.2</v>
      </c>
      <c r="E19" s="419">
        <v>4.5</v>
      </c>
      <c r="F19" s="419" t="s">
        <v>738</v>
      </c>
      <c r="G19" s="423" t="s">
        <v>739</v>
      </c>
      <c r="H19" s="411" t="s">
        <v>398</v>
      </c>
      <c r="I19" s="415">
        <v>16.100000000000001</v>
      </c>
      <c r="J19" s="415" t="s">
        <v>741</v>
      </c>
      <c r="K19" s="411"/>
    </row>
    <row r="20" spans="1:11" ht="27.5" thickBot="1">
      <c r="A20" s="426"/>
      <c r="B20" s="411" t="s">
        <v>716</v>
      </c>
      <c r="C20" s="413">
        <v>4.0999999999999996</v>
      </c>
      <c r="D20" s="413">
        <v>4.2</v>
      </c>
      <c r="E20" s="419">
        <v>4.5</v>
      </c>
      <c r="F20" s="413" t="s">
        <v>742</v>
      </c>
      <c r="G20" s="423" t="s">
        <v>740</v>
      </c>
      <c r="H20" s="411" t="s">
        <v>714</v>
      </c>
      <c r="I20" s="419">
        <v>16.100000000000001</v>
      </c>
      <c r="J20" s="415" t="s">
        <v>741</v>
      </c>
      <c r="K20" s="411"/>
    </row>
    <row r="21" spans="1:11" ht="15" thickBot="1">
      <c r="A21" s="426"/>
      <c r="B21" s="411" t="s">
        <v>717</v>
      </c>
      <c r="C21" s="419" t="s">
        <v>737</v>
      </c>
      <c r="D21" s="415">
        <v>4.2</v>
      </c>
      <c r="E21" s="419">
        <v>4.5</v>
      </c>
      <c r="F21" s="419" t="s">
        <v>738</v>
      </c>
      <c r="G21" s="424"/>
      <c r="H21" s="411" t="s">
        <v>716</v>
      </c>
      <c r="I21" s="413">
        <v>16.100000000000001</v>
      </c>
      <c r="J21" s="415" t="s">
        <v>741</v>
      </c>
      <c r="K21" s="411"/>
    </row>
    <row r="22" spans="1:11" ht="15" thickBot="1">
      <c r="A22" s="427"/>
      <c r="B22" s="411" t="s">
        <v>718</v>
      </c>
      <c r="C22" s="419" t="s">
        <v>737</v>
      </c>
      <c r="D22" s="413">
        <v>4.2</v>
      </c>
      <c r="E22" s="419">
        <v>4.5</v>
      </c>
      <c r="F22" s="415" t="s">
        <v>743</v>
      </c>
      <c r="G22" s="424"/>
      <c r="H22" s="411" t="s">
        <v>717</v>
      </c>
      <c r="I22" s="419">
        <v>16.100000000000001</v>
      </c>
      <c r="J22" s="415" t="s">
        <v>741</v>
      </c>
      <c r="K22" s="411"/>
    </row>
    <row r="23" spans="1:11" ht="27.5" thickBot="1">
      <c r="A23" s="425" t="s">
        <v>744</v>
      </c>
      <c r="B23" s="411" t="s">
        <v>398</v>
      </c>
      <c r="C23" s="415">
        <v>5.3</v>
      </c>
      <c r="D23" s="415">
        <v>5.5</v>
      </c>
      <c r="E23" s="413">
        <v>5.6</v>
      </c>
      <c r="F23" s="419" t="s">
        <v>746</v>
      </c>
      <c r="G23" s="414"/>
      <c r="H23" s="411" t="s">
        <v>718</v>
      </c>
      <c r="I23" s="419">
        <v>16.100000000000001</v>
      </c>
      <c r="J23" s="415" t="s">
        <v>741</v>
      </c>
      <c r="K23" s="411"/>
    </row>
    <row r="24" spans="1:11" ht="27.5" thickBot="1">
      <c r="A24" s="425" t="s">
        <v>745</v>
      </c>
      <c r="B24" s="411" t="s">
        <v>714</v>
      </c>
      <c r="C24" s="415" t="s">
        <v>747</v>
      </c>
      <c r="D24" s="415">
        <v>5.5</v>
      </c>
      <c r="E24" s="415">
        <v>5.6</v>
      </c>
      <c r="F24" s="419" t="s">
        <v>746</v>
      </c>
      <c r="G24" s="423" t="s">
        <v>748</v>
      </c>
      <c r="H24" s="411" t="s">
        <v>398</v>
      </c>
      <c r="I24" s="415">
        <v>17.600000000000001</v>
      </c>
      <c r="J24" s="415" t="s">
        <v>750</v>
      </c>
      <c r="K24" s="411"/>
    </row>
    <row r="25" spans="1:11" ht="18.5" thickBot="1">
      <c r="A25" s="426"/>
      <c r="B25" s="411" t="s">
        <v>716</v>
      </c>
      <c r="C25" s="413">
        <v>5.3</v>
      </c>
      <c r="D25" s="419">
        <v>5.5</v>
      </c>
      <c r="E25" s="413">
        <v>5.6</v>
      </c>
      <c r="F25" s="413" t="s">
        <v>746</v>
      </c>
      <c r="G25" s="423" t="s">
        <v>749</v>
      </c>
      <c r="H25" s="411" t="s">
        <v>714</v>
      </c>
      <c r="I25" s="419">
        <v>17.600000000000001</v>
      </c>
      <c r="J25" s="419" t="s">
        <v>750</v>
      </c>
      <c r="K25" s="411"/>
    </row>
    <row r="26" spans="1:11" ht="15" thickBot="1">
      <c r="A26" s="426"/>
      <c r="B26" s="411" t="s">
        <v>717</v>
      </c>
      <c r="C26" s="419">
        <v>5.3</v>
      </c>
      <c r="D26" s="415">
        <v>5.5</v>
      </c>
      <c r="E26" s="413" t="s">
        <v>751</v>
      </c>
      <c r="F26" s="419" t="s">
        <v>746</v>
      </c>
      <c r="G26" s="424"/>
      <c r="H26" s="411" t="s">
        <v>716</v>
      </c>
      <c r="I26" s="413">
        <v>17.600000000000001</v>
      </c>
      <c r="J26" s="413" t="s">
        <v>750</v>
      </c>
      <c r="K26" s="411"/>
    </row>
    <row r="27" spans="1:11" ht="15" thickBot="1">
      <c r="A27" s="427"/>
      <c r="B27" s="411" t="s">
        <v>718</v>
      </c>
      <c r="C27" s="415">
        <v>5.3</v>
      </c>
      <c r="D27" s="413">
        <v>5.5</v>
      </c>
      <c r="E27" s="415">
        <v>5.6</v>
      </c>
      <c r="F27" s="419" t="s">
        <v>746</v>
      </c>
      <c r="G27" s="424"/>
      <c r="H27" s="411" t="s">
        <v>717</v>
      </c>
      <c r="I27" s="415">
        <v>17.600000000000001</v>
      </c>
      <c r="J27" s="415" t="s">
        <v>750</v>
      </c>
      <c r="K27" s="411"/>
    </row>
    <row r="28" spans="1:11" ht="30" customHeight="1" thickBot="1">
      <c r="A28" s="548" t="s">
        <v>752</v>
      </c>
      <c r="B28" s="549"/>
      <c r="C28" s="549"/>
      <c r="D28" s="549"/>
      <c r="E28" s="549"/>
      <c r="F28" s="550"/>
      <c r="G28" s="414"/>
      <c r="H28" s="411" t="s">
        <v>718</v>
      </c>
      <c r="I28" s="415">
        <v>17.600000000000001</v>
      </c>
      <c r="J28" s="415">
        <v>17.8</v>
      </c>
      <c r="K28" s="411"/>
    </row>
  </sheetData>
  <mergeCells count="11">
    <mergeCell ref="E1:F1"/>
    <mergeCell ref="B17:B18"/>
    <mergeCell ref="C17:C18"/>
    <mergeCell ref="D17:D18"/>
    <mergeCell ref="E17:E18"/>
    <mergeCell ref="F17:F18"/>
    <mergeCell ref="H17:H18"/>
    <mergeCell ref="I17:I18"/>
    <mergeCell ref="J17:J18"/>
    <mergeCell ref="K17:K18"/>
    <mergeCell ref="A28:F2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13F5-9391-4A4C-B6A0-28FE314E6371}">
  <sheetPr>
    <tabColor theme="7"/>
  </sheetPr>
  <dimension ref="A1:P32"/>
  <sheetViews>
    <sheetView showGridLines="0" topLeftCell="A17" zoomScale="70" zoomScaleNormal="70" workbookViewId="0">
      <selection activeCell="B31" sqref="B31"/>
    </sheetView>
  </sheetViews>
  <sheetFormatPr defaultRowHeight="14.5"/>
  <cols>
    <col min="1" max="1" width="17.1796875" customWidth="1"/>
    <col min="2" max="7" width="14.54296875" customWidth="1"/>
    <col min="8" max="8" width="15.08984375" customWidth="1"/>
  </cols>
  <sheetData>
    <row r="1" spans="1:16" ht="50.15" customHeight="1">
      <c r="A1" s="376" t="s">
        <v>4</v>
      </c>
      <c r="B1" s="374" t="s">
        <v>436</v>
      </c>
      <c r="C1" s="374" t="s">
        <v>437</v>
      </c>
      <c r="D1" s="386" t="s">
        <v>438</v>
      </c>
      <c r="E1" s="386" t="s">
        <v>439</v>
      </c>
      <c r="F1" s="386" t="s">
        <v>440</v>
      </c>
      <c r="G1" s="386" t="s">
        <v>441</v>
      </c>
      <c r="H1" s="386" t="s">
        <v>673</v>
      </c>
      <c r="I1" s="244"/>
      <c r="J1" t="s">
        <v>666</v>
      </c>
      <c r="K1" t="s">
        <v>453</v>
      </c>
      <c r="L1" t="s">
        <v>667</v>
      </c>
    </row>
    <row r="2" spans="1:16">
      <c r="A2" s="375" t="s">
        <v>45</v>
      </c>
      <c r="B2" s="319">
        <v>22938</v>
      </c>
      <c r="C2" s="319">
        <v>25366</v>
      </c>
      <c r="D2" s="320" t="s">
        <v>443</v>
      </c>
      <c r="E2" s="320" t="s">
        <v>443</v>
      </c>
      <c r="F2" s="320" t="s">
        <v>443</v>
      </c>
      <c r="G2" s="320" t="s">
        <v>443</v>
      </c>
      <c r="H2" s="320" t="s">
        <v>443</v>
      </c>
      <c r="I2" s="242"/>
      <c r="J2" s="267" t="s">
        <v>45</v>
      </c>
      <c r="K2" s="267">
        <v>2023</v>
      </c>
      <c r="L2" s="267">
        <v>1</v>
      </c>
    </row>
    <row r="3" spans="1:16">
      <c r="A3" s="375" t="s">
        <v>37</v>
      </c>
      <c r="B3" s="320" t="s">
        <v>443</v>
      </c>
      <c r="C3" s="319">
        <v>36795</v>
      </c>
      <c r="D3" s="320" t="s">
        <v>443</v>
      </c>
      <c r="E3" s="320" t="s">
        <v>443</v>
      </c>
      <c r="F3" s="320" t="s">
        <v>443</v>
      </c>
      <c r="G3" s="320" t="s">
        <v>443</v>
      </c>
      <c r="H3" s="320" t="s">
        <v>443</v>
      </c>
      <c r="I3" s="242"/>
      <c r="J3" s="267" t="s">
        <v>37</v>
      </c>
      <c r="K3" s="267">
        <v>2023</v>
      </c>
      <c r="L3" s="267">
        <v>1</v>
      </c>
    </row>
    <row r="4" spans="1:16">
      <c r="A4" s="375" t="s">
        <v>40</v>
      </c>
      <c r="B4" s="319">
        <v>28786</v>
      </c>
      <c r="C4" s="319">
        <v>38063</v>
      </c>
      <c r="D4" s="320" t="s">
        <v>443</v>
      </c>
      <c r="E4" s="320" t="s">
        <v>443</v>
      </c>
      <c r="F4" s="320" t="s">
        <v>443</v>
      </c>
      <c r="G4" s="320" t="s">
        <v>443</v>
      </c>
      <c r="H4" s="320" t="s">
        <v>443</v>
      </c>
      <c r="I4" s="242"/>
      <c r="J4" s="267" t="s">
        <v>40</v>
      </c>
      <c r="K4" s="267">
        <v>2023</v>
      </c>
      <c r="L4" s="267">
        <v>1</v>
      </c>
      <c r="P4" s="242"/>
    </row>
    <row r="5" spans="1:16">
      <c r="A5" s="375" t="s">
        <v>34</v>
      </c>
      <c r="B5" s="319">
        <v>28705</v>
      </c>
      <c r="C5" s="319">
        <v>38411</v>
      </c>
      <c r="D5" s="320" t="s">
        <v>443</v>
      </c>
      <c r="E5" s="320" t="s">
        <v>443</v>
      </c>
      <c r="F5" s="320" t="s">
        <v>443</v>
      </c>
      <c r="G5" s="321">
        <v>44099</v>
      </c>
      <c r="H5" s="320" t="s">
        <v>443</v>
      </c>
      <c r="I5" s="242"/>
      <c r="J5" s="267" t="s">
        <v>34</v>
      </c>
      <c r="K5" s="267">
        <v>2023</v>
      </c>
      <c r="L5" s="267">
        <v>1</v>
      </c>
    </row>
    <row r="6" spans="1:16">
      <c r="A6" s="375" t="s">
        <v>33</v>
      </c>
      <c r="B6" s="319">
        <v>22123</v>
      </c>
      <c r="C6" s="319">
        <v>22046</v>
      </c>
      <c r="D6" s="320" t="s">
        <v>443</v>
      </c>
      <c r="E6" s="320" t="s">
        <v>443</v>
      </c>
      <c r="F6" s="320" t="s">
        <v>443</v>
      </c>
      <c r="G6" s="320" t="s">
        <v>443</v>
      </c>
      <c r="H6" s="320" t="s">
        <v>443</v>
      </c>
      <c r="I6" s="242"/>
      <c r="J6" s="267" t="s">
        <v>668</v>
      </c>
      <c r="K6" s="267">
        <v>2023</v>
      </c>
      <c r="L6" s="267">
        <v>1</v>
      </c>
    </row>
    <row r="7" spans="1:16">
      <c r="A7" s="375" t="s">
        <v>32</v>
      </c>
      <c r="B7" s="319">
        <v>23251</v>
      </c>
      <c r="C7" s="319">
        <v>21716</v>
      </c>
      <c r="D7" s="320" t="s">
        <v>443</v>
      </c>
      <c r="E7" s="320" t="s">
        <v>443</v>
      </c>
      <c r="F7" s="320" t="s">
        <v>443</v>
      </c>
      <c r="G7" s="320" t="s">
        <v>443</v>
      </c>
      <c r="H7" s="320" t="s">
        <v>443</v>
      </c>
      <c r="I7" s="242"/>
      <c r="J7" s="267" t="s">
        <v>32</v>
      </c>
      <c r="K7" s="267">
        <v>2023</v>
      </c>
      <c r="L7" s="267">
        <v>1</v>
      </c>
    </row>
    <row r="8" spans="1:16">
      <c r="A8" s="375" t="s">
        <v>43</v>
      </c>
      <c r="B8" s="319">
        <v>24372</v>
      </c>
      <c r="C8" s="319">
        <v>23196</v>
      </c>
      <c r="D8" s="320" t="s">
        <v>443</v>
      </c>
      <c r="E8" s="320" t="s">
        <v>443</v>
      </c>
      <c r="F8" s="320" t="s">
        <v>443</v>
      </c>
      <c r="G8" s="320" t="s">
        <v>443</v>
      </c>
      <c r="H8" s="320" t="s">
        <v>443</v>
      </c>
      <c r="I8" s="242"/>
      <c r="J8" s="267" t="s">
        <v>43</v>
      </c>
      <c r="K8" s="267">
        <v>2023</v>
      </c>
      <c r="L8" s="267">
        <v>1</v>
      </c>
    </row>
    <row r="9" spans="1:16">
      <c r="A9" s="375" t="s">
        <v>48</v>
      </c>
      <c r="B9" s="320" t="s">
        <v>443</v>
      </c>
      <c r="C9" s="319">
        <v>24442</v>
      </c>
      <c r="D9" s="320" t="s">
        <v>443</v>
      </c>
      <c r="E9" s="320" t="s">
        <v>443</v>
      </c>
      <c r="F9" s="320" t="s">
        <v>443</v>
      </c>
      <c r="G9" s="320" t="s">
        <v>443</v>
      </c>
      <c r="H9" s="320" t="s">
        <v>443</v>
      </c>
      <c r="I9" s="242"/>
      <c r="J9" s="267" t="s">
        <v>48</v>
      </c>
      <c r="K9" s="267">
        <v>2023</v>
      </c>
      <c r="L9" s="267">
        <v>1</v>
      </c>
    </row>
    <row r="10" spans="1:16">
      <c r="A10" s="375" t="s">
        <v>46</v>
      </c>
      <c r="B10" s="319">
        <v>28277</v>
      </c>
      <c r="C10" s="319">
        <v>28277</v>
      </c>
      <c r="D10" s="320" t="s">
        <v>443</v>
      </c>
      <c r="E10" s="320" t="s">
        <v>443</v>
      </c>
      <c r="F10" s="320" t="s">
        <v>443</v>
      </c>
      <c r="G10" s="320" t="s">
        <v>443</v>
      </c>
      <c r="H10" s="320" t="s">
        <v>443</v>
      </c>
      <c r="I10" s="242"/>
      <c r="J10" s="267" t="s">
        <v>46</v>
      </c>
      <c r="K10" s="267">
        <v>2023</v>
      </c>
      <c r="L10" s="267">
        <v>1</v>
      </c>
    </row>
    <row r="11" spans="1:16">
      <c r="A11" s="375" t="s">
        <v>41</v>
      </c>
      <c r="B11" s="319">
        <v>22817</v>
      </c>
      <c r="C11" s="319">
        <v>22445</v>
      </c>
      <c r="D11" s="320" t="s">
        <v>443</v>
      </c>
      <c r="E11" s="320" t="s">
        <v>443</v>
      </c>
      <c r="F11" s="320" t="s">
        <v>443</v>
      </c>
      <c r="G11" s="320" t="s">
        <v>443</v>
      </c>
      <c r="H11" s="320" t="s">
        <v>443</v>
      </c>
      <c r="I11" s="242"/>
      <c r="J11" t="s">
        <v>41</v>
      </c>
      <c r="K11">
        <v>2023</v>
      </c>
      <c r="L11">
        <v>0</v>
      </c>
    </row>
    <row r="12" spans="1:16">
      <c r="A12" s="375" t="s">
        <v>36</v>
      </c>
      <c r="B12" s="319">
        <v>37228</v>
      </c>
      <c r="C12" s="319">
        <v>23323</v>
      </c>
      <c r="D12" s="320" t="s">
        <v>443</v>
      </c>
      <c r="E12" s="320" t="s">
        <v>443</v>
      </c>
      <c r="F12" s="320" t="s">
        <v>443</v>
      </c>
      <c r="G12" s="320" t="s">
        <v>443</v>
      </c>
      <c r="H12" s="320" t="s">
        <v>443</v>
      </c>
      <c r="I12" s="242"/>
      <c r="J12" t="s">
        <v>36</v>
      </c>
      <c r="K12">
        <v>2023</v>
      </c>
      <c r="L12">
        <v>0</v>
      </c>
    </row>
    <row r="13" spans="1:16">
      <c r="A13" s="375" t="s">
        <v>35</v>
      </c>
      <c r="B13" s="319">
        <v>28986</v>
      </c>
      <c r="C13" s="319">
        <v>23097</v>
      </c>
      <c r="D13" s="320" t="s">
        <v>443</v>
      </c>
      <c r="E13" s="320" t="s">
        <v>443</v>
      </c>
      <c r="F13" s="320" t="s">
        <v>443</v>
      </c>
      <c r="G13" s="319">
        <v>40646</v>
      </c>
      <c r="H13" s="320" t="s">
        <v>443</v>
      </c>
      <c r="I13" s="242"/>
      <c r="J13" s="267" t="s">
        <v>35</v>
      </c>
      <c r="K13" s="267">
        <v>2023</v>
      </c>
      <c r="L13" s="267">
        <v>1</v>
      </c>
    </row>
    <row r="14" spans="1:16">
      <c r="A14" s="375" t="s">
        <v>49</v>
      </c>
      <c r="B14" s="320" t="s">
        <v>443</v>
      </c>
      <c r="C14" s="320" t="s">
        <v>443</v>
      </c>
      <c r="D14" s="320" t="s">
        <v>443</v>
      </c>
      <c r="E14" s="320" t="s">
        <v>443</v>
      </c>
      <c r="F14" s="320" t="s">
        <v>443</v>
      </c>
      <c r="G14" s="320" t="s">
        <v>443</v>
      </c>
      <c r="H14" s="320" t="s">
        <v>443</v>
      </c>
      <c r="I14" s="242"/>
      <c r="J14" s="267" t="s">
        <v>49</v>
      </c>
      <c r="K14" s="267">
        <v>2023</v>
      </c>
      <c r="L14" s="267">
        <v>1</v>
      </c>
    </row>
    <row r="15" spans="1:16">
      <c r="A15" s="375" t="s">
        <v>51</v>
      </c>
      <c r="B15" s="445" t="s">
        <v>444</v>
      </c>
      <c r="C15" s="446"/>
      <c r="D15" s="446"/>
      <c r="E15" s="446"/>
      <c r="F15" s="446"/>
      <c r="G15" s="446"/>
      <c r="H15" s="447"/>
      <c r="I15" s="242"/>
      <c r="J15" t="s">
        <v>47</v>
      </c>
      <c r="K15">
        <v>2023</v>
      </c>
      <c r="L15">
        <v>0</v>
      </c>
    </row>
    <row r="16" spans="1:16">
      <c r="A16" s="375" t="s">
        <v>47</v>
      </c>
      <c r="B16" s="320" t="s">
        <v>443</v>
      </c>
      <c r="C16" s="319">
        <v>27990</v>
      </c>
      <c r="D16" s="320" t="s">
        <v>443</v>
      </c>
      <c r="E16" s="320" t="s">
        <v>443</v>
      </c>
      <c r="F16" s="320" t="s">
        <v>443</v>
      </c>
      <c r="G16" s="320" t="s">
        <v>443</v>
      </c>
      <c r="H16" s="320" t="s">
        <v>443</v>
      </c>
      <c r="I16" s="242"/>
      <c r="J16" s="267" t="s">
        <v>38</v>
      </c>
      <c r="K16" s="267">
        <v>2023</v>
      </c>
      <c r="L16" s="267">
        <v>1</v>
      </c>
    </row>
    <row r="17" spans="1:12">
      <c r="A17" s="375" t="s">
        <v>38</v>
      </c>
      <c r="B17" s="319">
        <v>28656</v>
      </c>
      <c r="C17" s="319">
        <v>28656</v>
      </c>
      <c r="D17" s="320" t="s">
        <v>443</v>
      </c>
      <c r="E17" s="320" t="s">
        <v>443</v>
      </c>
      <c r="F17" s="320" t="s">
        <v>443</v>
      </c>
      <c r="G17" s="320" t="s">
        <v>443</v>
      </c>
      <c r="H17" s="320" t="s">
        <v>443</v>
      </c>
      <c r="I17" s="242"/>
      <c r="J17" t="s">
        <v>39</v>
      </c>
      <c r="K17">
        <v>2023</v>
      </c>
      <c r="L17">
        <v>0</v>
      </c>
    </row>
    <row r="18" spans="1:12">
      <c r="A18" s="375" t="s">
        <v>39</v>
      </c>
      <c r="B18" s="320" t="s">
        <v>443</v>
      </c>
      <c r="C18" s="319">
        <v>22623</v>
      </c>
      <c r="D18" s="320" t="s">
        <v>443</v>
      </c>
      <c r="E18" s="320" t="s">
        <v>443</v>
      </c>
      <c r="F18" s="320" t="s">
        <v>443</v>
      </c>
      <c r="G18" s="320" t="s">
        <v>443</v>
      </c>
      <c r="H18" s="387" t="s">
        <v>674</v>
      </c>
      <c r="I18" s="242"/>
      <c r="J18" t="s">
        <v>105</v>
      </c>
      <c r="K18">
        <v>2023</v>
      </c>
      <c r="L18">
        <v>0</v>
      </c>
    </row>
    <row r="19" spans="1:12">
      <c r="A19" s="375" t="s">
        <v>105</v>
      </c>
      <c r="B19" s="319">
        <v>25863</v>
      </c>
      <c r="C19" s="319">
        <v>25863</v>
      </c>
      <c r="D19" s="320" t="s">
        <v>443</v>
      </c>
      <c r="E19" s="321">
        <v>43742</v>
      </c>
      <c r="F19" s="320" t="s">
        <v>443</v>
      </c>
      <c r="G19" s="320" t="s">
        <v>443</v>
      </c>
      <c r="H19" s="320" t="s">
        <v>443</v>
      </c>
      <c r="I19" s="242"/>
      <c r="J19" t="s">
        <v>162</v>
      </c>
      <c r="K19">
        <v>2023</v>
      </c>
      <c r="L19">
        <v>0</v>
      </c>
    </row>
    <row r="20" spans="1:12">
      <c r="A20" s="375" t="s">
        <v>162</v>
      </c>
      <c r="B20" s="319">
        <v>20978</v>
      </c>
      <c r="C20" s="319">
        <v>22046</v>
      </c>
      <c r="D20" s="320" t="s">
        <v>443</v>
      </c>
      <c r="E20" s="320" t="s">
        <v>443</v>
      </c>
      <c r="F20" s="320" t="s">
        <v>443</v>
      </c>
      <c r="G20" s="320" t="s">
        <v>443</v>
      </c>
      <c r="H20" s="320" t="s">
        <v>443</v>
      </c>
      <c r="I20" s="242"/>
      <c r="J20" s="267" t="s">
        <v>42</v>
      </c>
      <c r="K20" s="267">
        <v>2023</v>
      </c>
      <c r="L20" s="267">
        <v>1</v>
      </c>
    </row>
    <row r="21" spans="1:12">
      <c r="A21" s="375" t="s">
        <v>42</v>
      </c>
      <c r="B21" s="319">
        <v>25122</v>
      </c>
      <c r="C21" s="319">
        <v>21807</v>
      </c>
      <c r="D21" s="320" t="s">
        <v>443</v>
      </c>
      <c r="E21" s="320" t="s">
        <v>443</v>
      </c>
      <c r="F21" s="320" t="s">
        <v>443</v>
      </c>
      <c r="G21" s="320" t="s">
        <v>443</v>
      </c>
      <c r="H21" s="320" t="s">
        <v>443</v>
      </c>
      <c r="I21" s="242"/>
      <c r="J21" s="267" t="s">
        <v>31</v>
      </c>
      <c r="K21" s="267">
        <v>2023</v>
      </c>
      <c r="L21" s="267">
        <v>1</v>
      </c>
    </row>
    <row r="22" spans="1:12">
      <c r="A22" s="375" t="s">
        <v>31</v>
      </c>
      <c r="B22" s="319">
        <v>35485</v>
      </c>
      <c r="C22" s="319">
        <v>37070</v>
      </c>
      <c r="D22" s="320" t="s">
        <v>443</v>
      </c>
      <c r="E22" s="320" t="s">
        <v>443</v>
      </c>
      <c r="F22" s="320" t="s">
        <v>443</v>
      </c>
      <c r="G22" s="320" t="s">
        <v>443</v>
      </c>
      <c r="H22" s="320" t="s">
        <v>443</v>
      </c>
      <c r="I22" s="242"/>
      <c r="J22" t="s">
        <v>669</v>
      </c>
      <c r="K22">
        <v>2023</v>
      </c>
      <c r="L22">
        <v>0</v>
      </c>
    </row>
    <row r="23" spans="1:12">
      <c r="A23" s="375" t="s">
        <v>52</v>
      </c>
      <c r="B23" s="319">
        <v>27970</v>
      </c>
      <c r="C23" s="319">
        <v>25437</v>
      </c>
      <c r="D23" s="319">
        <v>32580</v>
      </c>
      <c r="E23" s="320" t="s">
        <v>443</v>
      </c>
      <c r="F23" s="320" t="s">
        <v>443</v>
      </c>
      <c r="G23" s="320" t="s">
        <v>443</v>
      </c>
      <c r="H23" s="320" t="s">
        <v>443</v>
      </c>
      <c r="J23" t="s">
        <v>670</v>
      </c>
      <c r="K23">
        <v>2023</v>
      </c>
      <c r="L23">
        <v>0</v>
      </c>
    </row>
    <row r="25" spans="1:12">
      <c r="B25" s="242" t="s">
        <v>445</v>
      </c>
      <c r="C25" s="242" t="s">
        <v>446</v>
      </c>
      <c r="D25" s="242" t="s">
        <v>447</v>
      </c>
      <c r="E25" s="242" t="s">
        <v>447</v>
      </c>
      <c r="G25" s="242" t="s">
        <v>448</v>
      </c>
      <c r="H25" s="242" t="s">
        <v>447</v>
      </c>
    </row>
    <row r="28" spans="1:12">
      <c r="A28" s="243" t="s">
        <v>442</v>
      </c>
    </row>
    <row r="30" spans="1:12">
      <c r="J30" t="s">
        <v>672</v>
      </c>
    </row>
    <row r="31" spans="1:12">
      <c r="A31" s="373" t="s">
        <v>25</v>
      </c>
      <c r="B31" s="245" t="s">
        <v>435</v>
      </c>
      <c r="J31" s="172" t="s">
        <v>671</v>
      </c>
    </row>
    <row r="32" spans="1:12">
      <c r="A32" s="333" t="s">
        <v>612</v>
      </c>
    </row>
  </sheetData>
  <mergeCells count="1">
    <mergeCell ref="B15:H15"/>
  </mergeCells>
  <hyperlinks>
    <hyperlink ref="A32" r:id="rId1" display="https://normlex.ilo.org/dyn/normlex/en/f?p=NORMLEXPUB:1:3526778322627" xr:uid="{B883D150-6C0D-492B-9BDC-CEB19B8CDF10}"/>
    <hyperlink ref="J31" r:id="rId2" xr:uid="{6D38CB4A-2949-4F69-B0E2-0C29C5102812}"/>
  </hyperlinks>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697E6-17A8-405F-A418-1D141030D90E}">
  <dimension ref="A1:E19"/>
  <sheetViews>
    <sheetView showGridLines="0" zoomScale="80" zoomScaleNormal="80" workbookViewId="0">
      <selection activeCell="I24" sqref="I24"/>
    </sheetView>
  </sheetViews>
  <sheetFormatPr defaultRowHeight="14.5"/>
  <cols>
    <col min="1" max="1" width="20.54296875" customWidth="1"/>
  </cols>
  <sheetData>
    <row r="1" spans="1:3">
      <c r="A1" t="s">
        <v>565</v>
      </c>
    </row>
    <row r="3" spans="1:3" ht="16">
      <c r="A3" s="28" t="s">
        <v>180</v>
      </c>
      <c r="B3" s="28" t="s">
        <v>195</v>
      </c>
      <c r="C3" s="28" t="s">
        <v>192</v>
      </c>
    </row>
    <row r="4" spans="1:3">
      <c r="A4" s="306" t="s">
        <v>449</v>
      </c>
      <c r="B4" s="330">
        <v>0.20000000106422414</v>
      </c>
      <c r="C4" s="330">
        <v>4.8000000578129545E-2</v>
      </c>
    </row>
    <row r="5" spans="1:3">
      <c r="A5" s="306" t="s">
        <v>450</v>
      </c>
      <c r="B5" s="330">
        <v>0.18399999757356894</v>
      </c>
      <c r="C5" s="330">
        <v>5.8999999205071874E-2</v>
      </c>
    </row>
    <row r="6" spans="1:3">
      <c r="A6" s="306" t="s">
        <v>451</v>
      </c>
      <c r="B6" s="330">
        <v>0.32410487281952044</v>
      </c>
      <c r="C6" s="330">
        <v>0.19800000057812955</v>
      </c>
    </row>
    <row r="7" spans="1:3">
      <c r="A7" s="306" t="s">
        <v>452</v>
      </c>
      <c r="B7" s="330">
        <v>0.47439999760762414</v>
      </c>
      <c r="C7" s="330">
        <v>0.34400000173438866</v>
      </c>
    </row>
    <row r="8" spans="1:3">
      <c r="A8" s="306" t="s">
        <v>566</v>
      </c>
      <c r="B8" s="330">
        <v>0.306666279505733</v>
      </c>
      <c r="C8" s="330">
        <v>0.152817097866255</v>
      </c>
    </row>
    <row r="9" spans="1:3">
      <c r="A9" s="306" t="s">
        <v>567</v>
      </c>
      <c r="B9" s="331">
        <v>0.49</v>
      </c>
      <c r="C9" s="331">
        <v>0.18</v>
      </c>
    </row>
    <row r="11" spans="1:3">
      <c r="A11" s="4" t="s">
        <v>568</v>
      </c>
    </row>
    <row r="12" spans="1:3">
      <c r="A12" s="4" t="s">
        <v>298</v>
      </c>
    </row>
    <row r="18" spans="3:5">
      <c r="C18" s="106"/>
      <c r="D18" s="106"/>
      <c r="E18" s="106"/>
    </row>
    <row r="19" spans="3:5">
      <c r="C19" s="270"/>
      <c r="D19" s="270"/>
      <c r="E19" s="270"/>
    </row>
  </sheetData>
  <pageMargins left="0.7" right="0.7" top="0.75" bottom="0.75" header="0.3" footer="0.3"/>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9A5CA-0FF7-4AFA-A8AD-E7123DAAA95E}">
  <dimension ref="A1:E7"/>
  <sheetViews>
    <sheetView showGridLines="0" zoomScale="80" zoomScaleNormal="80" workbookViewId="0">
      <selection activeCell="A3" sqref="A3"/>
    </sheetView>
  </sheetViews>
  <sheetFormatPr defaultRowHeight="14.5"/>
  <sheetData>
    <row r="1" spans="1:5" ht="16">
      <c r="A1" s="522"/>
      <c r="B1" s="483" t="s">
        <v>195</v>
      </c>
      <c r="C1" s="484"/>
      <c r="D1" s="483" t="s">
        <v>192</v>
      </c>
      <c r="E1" s="484"/>
    </row>
    <row r="2" spans="1:5" ht="16">
      <c r="A2" s="523"/>
      <c r="B2" s="28" t="s">
        <v>2</v>
      </c>
      <c r="C2" s="28" t="s">
        <v>3</v>
      </c>
      <c r="D2" s="28" t="s">
        <v>2</v>
      </c>
      <c r="E2" s="28" t="s">
        <v>3</v>
      </c>
    </row>
    <row r="3" spans="1:5">
      <c r="A3" s="306" t="s">
        <v>528</v>
      </c>
      <c r="B3" s="378">
        <v>0.29707125000000001</v>
      </c>
      <c r="C3" s="378">
        <v>0.20654343571428599</v>
      </c>
      <c r="D3" s="378">
        <v>0.1253628</v>
      </c>
      <c r="E3" s="378">
        <v>0.102063142857143</v>
      </c>
    </row>
    <row r="4" spans="1:5">
      <c r="A4" s="306" t="s">
        <v>529</v>
      </c>
      <c r="B4" s="378">
        <v>5.9606307142857098E-2</v>
      </c>
      <c r="C4" s="378">
        <v>2.4941514285714301E-2</v>
      </c>
      <c r="D4" s="378">
        <v>4.5912678571428597E-2</v>
      </c>
      <c r="E4" s="378">
        <v>4.8506907142857103E-2</v>
      </c>
    </row>
    <row r="7" spans="1:5">
      <c r="A7" t="s">
        <v>584</v>
      </c>
    </row>
  </sheetData>
  <mergeCells count="3">
    <mergeCell ref="B1:C1"/>
    <mergeCell ref="D1:E1"/>
    <mergeCell ref="A1:A2"/>
  </mergeCells>
  <pageMargins left="0.7" right="0.7" top="0.75" bottom="0.75" header="0.3" footer="0.3"/>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01759-6564-4B00-8889-B1756EE0BE74}">
  <dimension ref="A1:C9"/>
  <sheetViews>
    <sheetView showGridLines="0" zoomScale="80" zoomScaleNormal="80" workbookViewId="0"/>
  </sheetViews>
  <sheetFormatPr defaultRowHeight="14.5"/>
  <cols>
    <col min="1" max="1" width="17.453125" customWidth="1"/>
  </cols>
  <sheetData>
    <row r="1" spans="1:3" ht="16">
      <c r="A1" s="6" t="s">
        <v>4</v>
      </c>
      <c r="B1" s="28" t="s">
        <v>195</v>
      </c>
      <c r="C1" s="28" t="s">
        <v>192</v>
      </c>
    </row>
    <row r="2" spans="1:3">
      <c r="A2" s="306" t="s">
        <v>569</v>
      </c>
      <c r="B2" s="331">
        <v>0.49</v>
      </c>
      <c r="C2" s="331">
        <v>0.41</v>
      </c>
    </row>
    <row r="3" spans="1:3">
      <c r="A3" s="306" t="s">
        <v>570</v>
      </c>
      <c r="B3" s="331">
        <v>0.19</v>
      </c>
      <c r="C3" s="331">
        <v>0.13</v>
      </c>
    </row>
    <row r="4" spans="1:3">
      <c r="A4" s="306" t="s">
        <v>571</v>
      </c>
      <c r="B4" s="331">
        <v>0.31</v>
      </c>
      <c r="C4" s="331">
        <v>0.27</v>
      </c>
    </row>
    <row r="5" spans="1:3">
      <c r="A5" s="306" t="s">
        <v>576</v>
      </c>
      <c r="B5" s="331">
        <v>0.05</v>
      </c>
      <c r="C5" s="331">
        <v>0.03</v>
      </c>
    </row>
    <row r="6" spans="1:3">
      <c r="A6" s="306" t="s">
        <v>572</v>
      </c>
      <c r="B6" s="331">
        <v>0.03</v>
      </c>
      <c r="C6" s="331">
        <v>0.02</v>
      </c>
    </row>
    <row r="7" spans="1:3">
      <c r="A7" s="306" t="s">
        <v>573</v>
      </c>
      <c r="B7" s="331">
        <v>0.13</v>
      </c>
      <c r="C7" s="331">
        <v>0.14000000000000001</v>
      </c>
    </row>
    <row r="8" spans="1:3">
      <c r="A8" s="306" t="s">
        <v>574</v>
      </c>
      <c r="B8" s="331">
        <v>0.17</v>
      </c>
      <c r="C8" s="331">
        <v>0.19</v>
      </c>
    </row>
    <row r="9" spans="1:3">
      <c r="A9" s="306" t="s">
        <v>575</v>
      </c>
      <c r="B9" s="331">
        <v>0.28000000000000003</v>
      </c>
      <c r="C9" s="331">
        <v>0.28000000000000003</v>
      </c>
    </row>
  </sheetData>
  <pageMargins left="0.7" right="0.7" top="0.75" bottom="0.75" header="0.3" footer="0.3"/>
  <drawing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E81C7-9290-4C04-A735-D76FDAA3B141}">
  <dimension ref="A1:E8"/>
  <sheetViews>
    <sheetView showGridLines="0" zoomScale="80" zoomScaleNormal="80" workbookViewId="0">
      <selection activeCell="A2" sqref="A2:A6"/>
    </sheetView>
  </sheetViews>
  <sheetFormatPr defaultRowHeight="14.5"/>
  <cols>
    <col min="1" max="1" width="25.1796875" customWidth="1"/>
  </cols>
  <sheetData>
    <row r="1" spans="1:5" ht="16">
      <c r="A1" s="28" t="s">
        <v>4</v>
      </c>
      <c r="B1" s="28" t="s">
        <v>3</v>
      </c>
      <c r="C1" s="28" t="s">
        <v>2</v>
      </c>
      <c r="D1" s="149" t="s">
        <v>3</v>
      </c>
      <c r="E1" s="148" t="s">
        <v>320</v>
      </c>
    </row>
    <row r="2" spans="1:5">
      <c r="A2" s="306" t="s">
        <v>39</v>
      </c>
      <c r="B2" s="147">
        <v>0.24</v>
      </c>
      <c r="C2" s="147">
        <v>0.61</v>
      </c>
      <c r="D2" s="146">
        <f>B2*-1</f>
        <v>-0.24</v>
      </c>
    </row>
    <row r="3" spans="1:5">
      <c r="A3" s="306" t="s">
        <v>52</v>
      </c>
      <c r="B3" s="147">
        <v>0.09</v>
      </c>
      <c r="C3" s="147">
        <v>0.42</v>
      </c>
      <c r="D3" s="146">
        <f>B3*-1</f>
        <v>-0.09</v>
      </c>
    </row>
    <row r="4" spans="1:5">
      <c r="A4" s="306" t="s">
        <v>36</v>
      </c>
      <c r="B4" s="147">
        <v>0.21</v>
      </c>
      <c r="C4" s="147">
        <v>0.41</v>
      </c>
      <c r="D4" s="146">
        <f>B4*-1</f>
        <v>-0.21</v>
      </c>
    </row>
    <row r="5" spans="1:5">
      <c r="A5" s="306" t="s">
        <v>34</v>
      </c>
      <c r="B5" s="147">
        <v>0.02</v>
      </c>
      <c r="C5" s="147">
        <v>0.15</v>
      </c>
      <c r="D5" s="146">
        <f>B5*-1</f>
        <v>-0.02</v>
      </c>
    </row>
    <row r="6" spans="1:5">
      <c r="A6" s="306" t="s">
        <v>162</v>
      </c>
      <c r="B6" s="147">
        <v>0.1</v>
      </c>
      <c r="C6" s="147">
        <v>0.03</v>
      </c>
      <c r="D6" s="146">
        <f>B6*-1</f>
        <v>-0.1</v>
      </c>
    </row>
    <row r="8" spans="1:5">
      <c r="A8" s="332" t="s">
        <v>581</v>
      </c>
    </row>
  </sheetData>
  <pageMargins left="0.7" right="0.7" top="0.75" bottom="0.75" header="0.3" footer="0.3"/>
  <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7AF83-3184-42FF-B597-94167B161992}">
  <dimension ref="A1:C10"/>
  <sheetViews>
    <sheetView showGridLines="0" zoomScale="80" zoomScaleNormal="80" workbookViewId="0"/>
  </sheetViews>
  <sheetFormatPr defaultRowHeight="14.5"/>
  <cols>
    <col min="1" max="1" width="11.453125" customWidth="1"/>
  </cols>
  <sheetData>
    <row r="1" spans="1:3" ht="16">
      <c r="A1" s="6" t="s">
        <v>4</v>
      </c>
      <c r="B1" s="28" t="s">
        <v>2</v>
      </c>
      <c r="C1" s="28" t="s">
        <v>3</v>
      </c>
    </row>
    <row r="2" spans="1:3">
      <c r="A2" s="306" t="s">
        <v>46</v>
      </c>
      <c r="B2" s="331">
        <v>7.0999999999999994E-2</v>
      </c>
      <c r="C2" s="331">
        <v>0.92600000000000005</v>
      </c>
    </row>
    <row r="3" spans="1:3">
      <c r="A3" s="306" t="s">
        <v>42</v>
      </c>
      <c r="B3" s="331">
        <v>6.4000000000000001E-2</v>
      </c>
      <c r="C3" s="331">
        <v>0.93600000000000005</v>
      </c>
    </row>
    <row r="4" spans="1:3">
      <c r="A4" s="306" t="s">
        <v>33</v>
      </c>
      <c r="B4" s="331">
        <v>5.1999999999999998E-2</v>
      </c>
      <c r="C4" s="331">
        <v>0.94799999999999995</v>
      </c>
    </row>
    <row r="5" spans="1:3">
      <c r="A5" s="306" t="s">
        <v>35</v>
      </c>
      <c r="B5" s="331">
        <v>4.3999999999999997E-2</v>
      </c>
      <c r="C5" s="331">
        <v>0.95599999999999996</v>
      </c>
    </row>
    <row r="6" spans="1:3">
      <c r="A6" s="306" t="s">
        <v>45</v>
      </c>
      <c r="B6" s="331">
        <v>4.1000000000000002E-2</v>
      </c>
      <c r="C6" s="331">
        <v>0.95899999999999996</v>
      </c>
    </row>
    <row r="7" spans="1:3">
      <c r="A7" s="306" t="s">
        <v>43</v>
      </c>
      <c r="B7" s="331">
        <v>0.03</v>
      </c>
      <c r="C7" s="331">
        <v>0.97</v>
      </c>
    </row>
    <row r="10" spans="1:3">
      <c r="A10" s="333" t="s">
        <v>582</v>
      </c>
    </row>
  </sheetData>
  <hyperlinks>
    <hyperlink ref="A10" r:id="rId1" display="http://elibrary.arabwomenorg.org/Content/21951_Gender Equality in the Agricultural Sector in the Arab Region (Desk Review).pdf" xr:uid="{73BEE111-2F4A-45A9-9660-C87AF1694218}"/>
  </hyperlinks>
  <pageMargins left="0.7" right="0.7" top="0.75" bottom="0.75" header="0.3" footer="0.3"/>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99BF8-B6A6-4642-A6F3-2539F2F70E0F}">
  <dimension ref="A1:C4"/>
  <sheetViews>
    <sheetView showGridLines="0" zoomScale="80" zoomScaleNormal="80" workbookViewId="0"/>
  </sheetViews>
  <sheetFormatPr defaultRowHeight="14.5"/>
  <cols>
    <col min="1" max="1" width="19.81640625" customWidth="1"/>
    <col min="2" max="3" width="15.1796875" customWidth="1"/>
    <col min="4" max="4" width="14.1796875" customWidth="1"/>
  </cols>
  <sheetData>
    <row r="1" spans="1:3" ht="32">
      <c r="A1" s="28" t="s">
        <v>585</v>
      </c>
      <c r="B1" s="28" t="s">
        <v>53</v>
      </c>
      <c r="C1" s="28" t="s">
        <v>466</v>
      </c>
    </row>
    <row r="2" spans="1:3">
      <c r="A2" s="306" t="s">
        <v>578</v>
      </c>
      <c r="B2" s="331">
        <v>0.17699999999999999</v>
      </c>
      <c r="C2" s="331">
        <v>0.26900000000000002</v>
      </c>
    </row>
    <row r="3" spans="1:3">
      <c r="A3" s="306" t="s">
        <v>579</v>
      </c>
      <c r="B3" s="331">
        <v>0.16300000000000001</v>
      </c>
      <c r="C3" s="331">
        <v>0.23300000000000001</v>
      </c>
    </row>
    <row r="4" spans="1:3">
      <c r="A4" s="306" t="s">
        <v>577</v>
      </c>
      <c r="B4" s="331">
        <v>0.19500000000000001</v>
      </c>
      <c r="C4" s="331">
        <v>0.35499999999999998</v>
      </c>
    </row>
  </sheetData>
  <pageMargins left="0.7" right="0.7" top="0.75" bottom="0.75" header="0.3" footer="0.3"/>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C9893-C372-46E2-8E78-1F15B5828086}">
  <dimension ref="A1:G26"/>
  <sheetViews>
    <sheetView showGridLines="0" zoomScale="80" zoomScaleNormal="80" workbookViewId="0">
      <selection activeCell="B1" sqref="B1"/>
    </sheetView>
  </sheetViews>
  <sheetFormatPr defaultRowHeight="14.5"/>
  <cols>
    <col min="1" max="1" width="38.81640625" customWidth="1"/>
  </cols>
  <sheetData>
    <row r="1" spans="1:3" ht="16">
      <c r="A1" s="28" t="s">
        <v>585</v>
      </c>
      <c r="B1" s="28" t="s">
        <v>2</v>
      </c>
      <c r="C1" s="28" t="s">
        <v>3</v>
      </c>
    </row>
    <row r="2" spans="1:3">
      <c r="A2" s="306" t="s">
        <v>586</v>
      </c>
      <c r="B2" s="331">
        <v>0.56000000000000005</v>
      </c>
      <c r="C2" s="331">
        <v>0.81</v>
      </c>
    </row>
    <row r="3" spans="1:3" ht="13" customHeight="1">
      <c r="A3" s="306" t="s">
        <v>587</v>
      </c>
      <c r="B3" s="331">
        <v>0.23</v>
      </c>
      <c r="C3" s="331">
        <v>0.1</v>
      </c>
    </row>
    <row r="4" spans="1:3">
      <c r="A4" s="306" t="s">
        <v>588</v>
      </c>
      <c r="B4" s="331">
        <v>0.21</v>
      </c>
      <c r="C4" s="331">
        <v>0.68</v>
      </c>
    </row>
    <row r="7" spans="1:3">
      <c r="A7" s="31" t="s">
        <v>101</v>
      </c>
    </row>
    <row r="21" spans="1:7">
      <c r="A21" s="334" t="s">
        <v>589</v>
      </c>
      <c r="B21" s="334" t="s">
        <v>181</v>
      </c>
      <c r="C21" s="334" t="s">
        <v>149</v>
      </c>
      <c r="D21" s="334" t="s">
        <v>590</v>
      </c>
      <c r="E21" s="334" t="s">
        <v>591</v>
      </c>
      <c r="F21" s="335" t="s">
        <v>592</v>
      </c>
      <c r="G21" s="334" t="s">
        <v>54</v>
      </c>
    </row>
    <row r="22" spans="1:7">
      <c r="A22" t="s">
        <v>593</v>
      </c>
      <c r="B22" t="s">
        <v>3</v>
      </c>
      <c r="C22" t="s">
        <v>150</v>
      </c>
      <c r="D22" t="s">
        <v>195</v>
      </c>
      <c r="E22">
        <v>2020</v>
      </c>
      <c r="F22" s="58">
        <v>70.721999999999994</v>
      </c>
      <c r="G22" t="s">
        <v>594</v>
      </c>
    </row>
    <row r="23" spans="1:7">
      <c r="A23" t="s">
        <v>593</v>
      </c>
      <c r="B23" t="s">
        <v>2</v>
      </c>
      <c r="C23" t="s">
        <v>150</v>
      </c>
      <c r="D23" t="s">
        <v>195</v>
      </c>
      <c r="E23">
        <v>2020</v>
      </c>
      <c r="F23" s="58">
        <v>18.373999999999999</v>
      </c>
      <c r="G23" t="s">
        <v>594</v>
      </c>
    </row>
    <row r="25" spans="1:7">
      <c r="A25" s="337" t="s">
        <v>595</v>
      </c>
    </row>
    <row r="26" spans="1:7">
      <c r="A26" s="336" t="s">
        <v>596</v>
      </c>
    </row>
  </sheetData>
  <pageMargins left="0.7" right="0.7" top="0.75" bottom="0.75" header="0.3" footer="0.3"/>
  <drawing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10E6-6735-4EAA-901E-463AB5D9D62E}">
  <dimension ref="A1:C11"/>
  <sheetViews>
    <sheetView showGridLines="0" zoomScale="80" zoomScaleNormal="80" workbookViewId="0"/>
  </sheetViews>
  <sheetFormatPr defaultRowHeight="14.5"/>
  <cols>
    <col min="1" max="1" width="21.81640625" customWidth="1"/>
    <col min="2" max="3" width="16.1796875" customWidth="1"/>
  </cols>
  <sheetData>
    <row r="1" spans="1:3" ht="67" customHeight="1">
      <c r="A1" s="28" t="s">
        <v>641</v>
      </c>
      <c r="B1" s="28" t="s">
        <v>60</v>
      </c>
      <c r="C1" s="28" t="s">
        <v>61</v>
      </c>
    </row>
    <row r="2" spans="1:3">
      <c r="A2" s="306" t="s">
        <v>67</v>
      </c>
      <c r="B2" s="331">
        <v>0.04</v>
      </c>
      <c r="C2" s="331">
        <v>0.14000000000000001</v>
      </c>
    </row>
    <row r="3" spans="1:3">
      <c r="A3" s="306" t="s">
        <v>66</v>
      </c>
      <c r="B3" s="331">
        <v>0.09</v>
      </c>
      <c r="C3" s="331">
        <v>0.13</v>
      </c>
    </row>
    <row r="4" spans="1:3">
      <c r="A4" s="306" t="s">
        <v>580</v>
      </c>
      <c r="B4" s="331">
        <v>0.15</v>
      </c>
      <c r="C4" s="331">
        <v>0.34</v>
      </c>
    </row>
    <row r="5" spans="1:3">
      <c r="A5" s="306" t="s">
        <v>65</v>
      </c>
      <c r="B5" s="331">
        <v>0.17</v>
      </c>
      <c r="C5" s="331">
        <v>0.3</v>
      </c>
    </row>
    <row r="6" spans="1:3">
      <c r="A6" s="306" t="s">
        <v>63</v>
      </c>
      <c r="B6" s="331">
        <v>0.17</v>
      </c>
      <c r="C6" s="331">
        <v>0.34</v>
      </c>
    </row>
    <row r="7" spans="1:3">
      <c r="A7" s="306" t="s">
        <v>62</v>
      </c>
      <c r="B7" s="331">
        <v>0.2</v>
      </c>
      <c r="C7" s="331">
        <v>0.47</v>
      </c>
    </row>
    <row r="11" spans="1:3">
      <c r="A11" s="333" t="s">
        <v>583</v>
      </c>
    </row>
  </sheetData>
  <hyperlinks>
    <hyperlink ref="A11" r:id="rId1" display="https://www.enterprisesurveys.org/en/enterprisesurveys" xr:uid="{36FCB1F8-B77F-4412-96E7-2E254BF7208A}"/>
  </hyperlinks>
  <pageMargins left="0.7" right="0.7" top="0.75" bottom="0.75" header="0.3" footer="0.3"/>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6C48-06CE-45A5-9D09-F3A79522C51B}">
  <dimension ref="A1:B2"/>
  <sheetViews>
    <sheetView showGridLines="0" zoomScale="80" zoomScaleNormal="80" workbookViewId="0"/>
  </sheetViews>
  <sheetFormatPr defaultRowHeight="14.5"/>
  <cols>
    <col min="1" max="1" width="23.54296875" customWidth="1"/>
  </cols>
  <sheetData>
    <row r="1" spans="1:2">
      <c r="A1" s="306" t="s">
        <v>563</v>
      </c>
      <c r="B1" s="35">
        <v>84</v>
      </c>
    </row>
    <row r="2" spans="1:2">
      <c r="A2" s="306" t="s">
        <v>564</v>
      </c>
      <c r="B2" s="196">
        <f>14*7</f>
        <v>98</v>
      </c>
    </row>
  </sheetData>
  <pageMargins left="0.7" right="0.7" top="0.75" bottom="0.75" header="0.3" footer="0.3"/>
  <drawing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E4773-ADE3-4564-8EB4-3D1EB87BC0E3}">
  <dimension ref="A1:D4"/>
  <sheetViews>
    <sheetView showGridLines="0" zoomScale="80" zoomScaleNormal="80" workbookViewId="0"/>
  </sheetViews>
  <sheetFormatPr defaultRowHeight="14.5"/>
  <cols>
    <col min="1" max="3" width="14.1796875" customWidth="1"/>
  </cols>
  <sheetData>
    <row r="1" spans="1:4" ht="16">
      <c r="A1" s="28" t="s">
        <v>104</v>
      </c>
      <c r="B1" s="28" t="s">
        <v>67</v>
      </c>
      <c r="C1" s="28" t="s">
        <v>110</v>
      </c>
      <c r="D1" s="31"/>
    </row>
    <row r="2" spans="1:4">
      <c r="A2" s="306">
        <v>2024</v>
      </c>
      <c r="B2" s="33">
        <v>14.517999649047852</v>
      </c>
      <c r="C2" s="33">
        <v>51.834999084472656</v>
      </c>
      <c r="D2" s="31"/>
    </row>
    <row r="3" spans="1:4">
      <c r="B3" s="31"/>
      <c r="C3" s="31"/>
      <c r="D3" s="31"/>
    </row>
    <row r="4" spans="1:4">
      <c r="A4" s="31" t="s">
        <v>101</v>
      </c>
      <c r="B4" s="31"/>
      <c r="C4" s="31"/>
      <c r="D4" s="31"/>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56712-FEE3-42C6-B111-3108C90C7CAA}">
  <sheetPr codeName="Sheet10">
    <tabColor theme="6" tint="0.39997558519241921"/>
  </sheetPr>
  <dimension ref="A1:L38"/>
  <sheetViews>
    <sheetView showGridLines="0" zoomScale="70" zoomScaleNormal="70" workbookViewId="0">
      <pane xSplit="1" ySplit="2" topLeftCell="B3" activePane="bottomRight" state="frozen"/>
      <selection pane="topRight" activeCell="C1" sqref="C1:I1"/>
      <selection pane="bottomLeft" activeCell="C1" sqref="C1:I1"/>
      <selection pane="bottomRight" activeCell="A10" sqref="A10"/>
    </sheetView>
  </sheetViews>
  <sheetFormatPr defaultRowHeight="14.5"/>
  <cols>
    <col min="1" max="1" width="28.81640625" bestFit="1" customWidth="1"/>
    <col min="2" max="2" width="14.54296875" customWidth="1"/>
    <col min="3" max="5" width="18.453125" customWidth="1"/>
  </cols>
  <sheetData>
    <row r="1" spans="1:12" ht="16">
      <c r="B1" s="43"/>
      <c r="C1" s="448" t="s">
        <v>122</v>
      </c>
      <c r="D1" s="449"/>
      <c r="E1" s="450"/>
    </row>
    <row r="2" spans="1:12">
      <c r="A2" s="35" t="s">
        <v>113</v>
      </c>
      <c r="B2" s="44" t="s">
        <v>104</v>
      </c>
      <c r="C2" s="45" t="s">
        <v>102</v>
      </c>
      <c r="D2" s="45" t="s">
        <v>112</v>
      </c>
      <c r="E2" s="45" t="s">
        <v>123</v>
      </c>
    </row>
    <row r="3" spans="1:12">
      <c r="A3" s="38" t="s">
        <v>67</v>
      </c>
      <c r="B3" s="46">
        <v>2019</v>
      </c>
      <c r="C3" s="47">
        <v>140192613</v>
      </c>
      <c r="D3" s="48">
        <v>0.315</v>
      </c>
      <c r="E3" s="47">
        <v>445055915</v>
      </c>
    </row>
    <row r="4" spans="1:12">
      <c r="A4" s="38" t="s">
        <v>67</v>
      </c>
      <c r="B4" s="46">
        <v>2023</v>
      </c>
      <c r="C4" s="47">
        <v>170759072</v>
      </c>
      <c r="D4" s="48">
        <v>0.35399999999999998</v>
      </c>
      <c r="E4" s="47">
        <v>482370261</v>
      </c>
    </row>
    <row r="5" spans="1:12">
      <c r="A5" s="246" t="s">
        <v>67</v>
      </c>
      <c r="B5" s="247">
        <v>2024</v>
      </c>
      <c r="C5" s="248">
        <v>173594224</v>
      </c>
      <c r="D5" s="249">
        <v>0.35299999999999998</v>
      </c>
      <c r="E5" s="47">
        <v>491768339</v>
      </c>
    </row>
    <row r="6" spans="1:12">
      <c r="A6" s="38" t="s">
        <v>67</v>
      </c>
      <c r="B6" s="46">
        <v>2025</v>
      </c>
      <c r="C6" s="47">
        <v>175958126</v>
      </c>
      <c r="D6" s="48">
        <v>0.35099999999999998</v>
      </c>
      <c r="E6" s="47">
        <v>501305202</v>
      </c>
    </row>
    <row r="7" spans="1:12">
      <c r="A7" s="38" t="s">
        <v>124</v>
      </c>
      <c r="B7" s="46">
        <v>2019</v>
      </c>
      <c r="C7" s="47">
        <v>77415995</v>
      </c>
      <c r="D7" s="48">
        <v>0.45500000000000002</v>
      </c>
      <c r="E7" s="47">
        <v>170145043</v>
      </c>
    </row>
    <row r="8" spans="1:12">
      <c r="A8" s="38" t="s">
        <v>124</v>
      </c>
      <c r="B8" s="46">
        <v>2023</v>
      </c>
      <c r="C8" s="47">
        <v>95155399</v>
      </c>
      <c r="D8" s="48">
        <v>0.503</v>
      </c>
      <c r="E8" s="47">
        <v>189175744</v>
      </c>
    </row>
    <row r="9" spans="1:12">
      <c r="A9" s="38" t="s">
        <v>124</v>
      </c>
      <c r="B9" s="46">
        <v>2024</v>
      </c>
      <c r="C9" s="47">
        <v>97784421</v>
      </c>
      <c r="D9" s="48">
        <v>0.505</v>
      </c>
      <c r="E9" s="47">
        <v>193632517</v>
      </c>
    </row>
    <row r="10" spans="1:12">
      <c r="A10" s="38" t="s">
        <v>124</v>
      </c>
      <c r="B10" s="46">
        <v>2025</v>
      </c>
      <c r="C10" s="47">
        <v>100185196</v>
      </c>
      <c r="D10" s="48">
        <v>0.504</v>
      </c>
      <c r="E10" s="47">
        <v>198780150</v>
      </c>
    </row>
    <row r="11" spans="1:12">
      <c r="A11" s="38" t="s">
        <v>125</v>
      </c>
      <c r="B11" s="46">
        <v>2019</v>
      </c>
      <c r="C11" s="47">
        <v>6061116</v>
      </c>
      <c r="D11" s="48">
        <v>0.114</v>
      </c>
      <c r="E11" s="47">
        <v>53167685</v>
      </c>
    </row>
    <row r="12" spans="1:12">
      <c r="A12" s="38" t="s">
        <v>125</v>
      </c>
      <c r="B12" s="46">
        <v>2023</v>
      </c>
      <c r="C12" s="47">
        <v>6009347</v>
      </c>
      <c r="D12" s="48">
        <v>0.10299999999999999</v>
      </c>
      <c r="E12" s="47">
        <v>58343175</v>
      </c>
    </row>
    <row r="13" spans="1:12">
      <c r="A13" s="38" t="s">
        <v>125</v>
      </c>
      <c r="B13" s="49">
        <v>2024</v>
      </c>
      <c r="C13" s="50">
        <v>5986140</v>
      </c>
      <c r="D13" s="51">
        <v>0.1</v>
      </c>
      <c r="E13" s="47">
        <v>59861397</v>
      </c>
    </row>
    <row r="14" spans="1:12">
      <c r="A14" s="38" t="s">
        <v>125</v>
      </c>
      <c r="B14" s="49">
        <v>2025</v>
      </c>
      <c r="C14" s="50">
        <v>5935655</v>
      </c>
      <c r="D14" s="51">
        <v>9.7000000000000003E-2</v>
      </c>
      <c r="E14" s="47">
        <v>61192318</v>
      </c>
      <c r="L14" s="52"/>
    </row>
    <row r="15" spans="1:12">
      <c r="A15" s="38" t="s">
        <v>126</v>
      </c>
      <c r="B15" s="46">
        <v>2019</v>
      </c>
      <c r="C15" s="47">
        <v>66363990</v>
      </c>
      <c r="D15" s="48">
        <v>0.56699999999999995</v>
      </c>
      <c r="E15" s="47">
        <v>117044074</v>
      </c>
      <c r="L15" s="52"/>
    </row>
    <row r="16" spans="1:12">
      <c r="A16" s="38" t="s">
        <v>126</v>
      </c>
      <c r="B16" s="46">
        <v>2023</v>
      </c>
      <c r="C16" s="47">
        <v>83430646</v>
      </c>
      <c r="D16" s="48">
        <v>0.63500000000000001</v>
      </c>
      <c r="E16" s="47">
        <v>131386844</v>
      </c>
    </row>
    <row r="17" spans="1:12">
      <c r="A17" s="38" t="s">
        <v>126</v>
      </c>
      <c r="B17" s="49">
        <v>2024</v>
      </c>
      <c r="C17" s="50">
        <v>85947554</v>
      </c>
      <c r="D17" s="51">
        <v>0.63800000000000001</v>
      </c>
      <c r="E17" s="47">
        <v>134714034</v>
      </c>
    </row>
    <row r="18" spans="1:12">
      <c r="A18" s="38" t="s">
        <v>126</v>
      </c>
      <c r="B18" s="49">
        <v>2025</v>
      </c>
      <c r="C18" s="50">
        <v>88359036</v>
      </c>
      <c r="D18" s="51">
        <v>0.63700000000000001</v>
      </c>
      <c r="E18" s="47">
        <v>138711202</v>
      </c>
      <c r="L18" s="52"/>
    </row>
    <row r="19" spans="1:12">
      <c r="A19" s="38" t="s">
        <v>127</v>
      </c>
      <c r="B19" s="49">
        <v>2019</v>
      </c>
      <c r="C19" s="50">
        <v>61565091</v>
      </c>
      <c r="D19" s="51">
        <v>0.224</v>
      </c>
      <c r="E19" s="47">
        <v>274844157</v>
      </c>
      <c r="L19" s="52"/>
    </row>
    <row r="20" spans="1:12">
      <c r="A20" s="38" t="s">
        <v>127</v>
      </c>
      <c r="B20" s="49">
        <v>2023</v>
      </c>
      <c r="C20" s="50">
        <v>73160060</v>
      </c>
      <c r="D20" s="51">
        <v>0.25</v>
      </c>
      <c r="E20" s="47">
        <v>292640240</v>
      </c>
      <c r="L20" s="52"/>
    </row>
    <row r="21" spans="1:12">
      <c r="A21" s="38" t="s">
        <v>127</v>
      </c>
      <c r="B21" s="49">
        <v>2024</v>
      </c>
      <c r="C21" s="50">
        <v>73109455</v>
      </c>
      <c r="D21" s="51">
        <v>0.246</v>
      </c>
      <c r="E21" s="47">
        <v>297192908</v>
      </c>
      <c r="L21" s="52"/>
    </row>
    <row r="22" spans="1:12">
      <c r="A22" s="38" t="s">
        <v>127</v>
      </c>
      <c r="B22" s="49">
        <v>2025</v>
      </c>
      <c r="C22" s="50">
        <v>72637810</v>
      </c>
      <c r="D22" s="51">
        <v>0.24099999999999999</v>
      </c>
      <c r="E22" s="47">
        <v>301401700</v>
      </c>
      <c r="L22" s="52"/>
    </row>
    <row r="23" spans="1:12">
      <c r="L23" s="52"/>
    </row>
    <row r="24" spans="1:12">
      <c r="H24" s="52"/>
      <c r="J24" s="52"/>
      <c r="K24" s="52"/>
      <c r="L24" s="52"/>
    </row>
    <row r="25" spans="1:12">
      <c r="H25" s="52"/>
      <c r="J25" s="52"/>
      <c r="K25" s="52"/>
      <c r="L25" s="52"/>
    </row>
    <row r="26" spans="1:12">
      <c r="H26" s="52"/>
      <c r="J26" s="52"/>
      <c r="K26" s="52"/>
      <c r="L26" s="52"/>
    </row>
    <row r="27" spans="1:12">
      <c r="H27" s="52"/>
      <c r="J27" s="52"/>
      <c r="K27" s="52"/>
      <c r="L27" s="52"/>
    </row>
    <row r="28" spans="1:12">
      <c r="H28" s="52"/>
      <c r="J28" s="52"/>
      <c r="K28" s="52"/>
      <c r="L28" s="52"/>
    </row>
    <row r="29" spans="1:12">
      <c r="H29" s="52"/>
      <c r="J29" s="52"/>
      <c r="K29" s="52"/>
      <c r="L29" s="52"/>
    </row>
    <row r="30" spans="1:12">
      <c r="H30" s="52"/>
      <c r="J30" s="52"/>
      <c r="K30" s="52"/>
      <c r="L30" s="52"/>
    </row>
    <row r="31" spans="1:12">
      <c r="H31" s="52"/>
      <c r="J31" s="52"/>
      <c r="K31" s="52"/>
      <c r="L31" s="52"/>
    </row>
    <row r="32" spans="1:12">
      <c r="H32" s="52"/>
      <c r="J32" s="52"/>
      <c r="K32" s="52"/>
      <c r="L32" s="52"/>
    </row>
    <row r="33" spans="8:12">
      <c r="H33" s="52"/>
      <c r="J33" s="52"/>
      <c r="K33" s="52"/>
      <c r="L33" s="52"/>
    </row>
    <row r="34" spans="8:12">
      <c r="H34" s="52"/>
      <c r="J34" s="52"/>
      <c r="K34" s="52"/>
      <c r="L34" s="52"/>
    </row>
    <row r="35" spans="8:12">
      <c r="H35" s="52"/>
      <c r="J35" s="52"/>
      <c r="K35" s="52"/>
      <c r="L35" s="52"/>
    </row>
    <row r="36" spans="8:12">
      <c r="H36" s="52"/>
      <c r="J36" s="52"/>
      <c r="K36" s="52"/>
      <c r="L36" s="52"/>
    </row>
    <row r="37" spans="8:12">
      <c r="H37" s="52"/>
      <c r="J37" s="52"/>
      <c r="K37" s="52"/>
      <c r="L37" s="52"/>
    </row>
    <row r="38" spans="8:12">
      <c r="H38" s="52"/>
      <c r="J38" s="52"/>
      <c r="K38" s="52"/>
      <c r="L38" s="52"/>
    </row>
  </sheetData>
  <mergeCells count="1">
    <mergeCell ref="C1:E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39F54-D812-41E1-B47D-81C57D9A8FEA}">
  <sheetPr codeName="Sheet9">
    <tabColor theme="6" tint="0.39997558519241921"/>
  </sheetPr>
  <dimension ref="A1:I33"/>
  <sheetViews>
    <sheetView showGridLines="0" zoomScale="70" zoomScaleNormal="70" workbookViewId="0">
      <pane xSplit="2" ySplit="3" topLeftCell="C4" activePane="bottomRight" state="frozen"/>
      <selection pane="topRight" activeCell="C1" sqref="C1:I1"/>
      <selection pane="bottomLeft" activeCell="C1" sqref="C1:I1"/>
      <selection pane="bottomRight" activeCell="D7" sqref="D7"/>
    </sheetView>
  </sheetViews>
  <sheetFormatPr defaultRowHeight="14.5"/>
  <cols>
    <col min="1" max="1" width="15.54296875" bestFit="1" customWidth="1"/>
    <col min="2" max="2" width="11" bestFit="1" customWidth="1"/>
    <col min="3" max="5" width="14.453125" style="41" customWidth="1"/>
    <col min="6" max="8" width="14.453125" style="42" customWidth="1"/>
    <col min="9" max="9" width="14.453125" customWidth="1"/>
  </cols>
  <sheetData>
    <row r="1" spans="1:9" ht="16">
      <c r="C1" s="451" t="s">
        <v>111</v>
      </c>
      <c r="D1" s="451"/>
      <c r="E1" s="451"/>
      <c r="F1" s="451"/>
      <c r="G1" s="451"/>
      <c r="H1" s="451"/>
      <c r="I1" s="451"/>
    </row>
    <row r="2" spans="1:9">
      <c r="C2" s="452" t="s">
        <v>102</v>
      </c>
      <c r="D2" s="453"/>
      <c r="E2" s="453"/>
      <c r="F2" s="454" t="s">
        <v>112</v>
      </c>
      <c r="G2" s="454"/>
      <c r="H2" s="454"/>
      <c r="I2" s="34"/>
    </row>
    <row r="3" spans="1:9">
      <c r="A3" s="35" t="s">
        <v>113</v>
      </c>
      <c r="B3" s="35" t="s">
        <v>104</v>
      </c>
      <c r="C3" s="36" t="s">
        <v>114</v>
      </c>
      <c r="D3" s="36" t="s">
        <v>115</v>
      </c>
      <c r="E3" s="36" t="s">
        <v>116</v>
      </c>
      <c r="F3" s="36" t="s">
        <v>114</v>
      </c>
      <c r="G3" s="36" t="s">
        <v>115</v>
      </c>
      <c r="H3" s="36" t="s">
        <v>116</v>
      </c>
      <c r="I3" s="37" t="s">
        <v>117</v>
      </c>
    </row>
    <row r="4" spans="1:9">
      <c r="A4" s="246" t="s">
        <v>67</v>
      </c>
      <c r="B4" s="246">
        <v>2000</v>
      </c>
      <c r="C4" s="39">
        <v>14171912</v>
      </c>
      <c r="D4" s="39">
        <v>7047650</v>
      </c>
      <c r="E4" s="39">
        <v>7124262</v>
      </c>
      <c r="F4" s="250">
        <v>5.8293299999999999E-2</v>
      </c>
      <c r="G4" s="40">
        <v>5.86121E-2</v>
      </c>
      <c r="H4" s="40">
        <v>5.79813E-2</v>
      </c>
      <c r="I4" s="38"/>
    </row>
    <row r="5" spans="1:9">
      <c r="A5" s="38" t="s">
        <v>67</v>
      </c>
      <c r="B5" s="38">
        <v>2005</v>
      </c>
      <c r="C5" s="39">
        <v>13737753</v>
      </c>
      <c r="D5" s="39">
        <v>6839981</v>
      </c>
      <c r="E5" s="39">
        <v>6897771</v>
      </c>
      <c r="F5" s="40">
        <v>5.0869999999999999E-2</v>
      </c>
      <c r="G5" s="40">
        <v>5.1150099999999997E-2</v>
      </c>
      <c r="H5" s="40">
        <v>5.0595399999999999E-2</v>
      </c>
      <c r="I5" s="38"/>
    </row>
    <row r="6" spans="1:9">
      <c r="A6" s="38" t="s">
        <v>67</v>
      </c>
      <c r="B6" s="38">
        <v>2010</v>
      </c>
      <c r="C6" s="39">
        <v>12468935</v>
      </c>
      <c r="D6" s="39">
        <v>6221852</v>
      </c>
      <c r="E6" s="39">
        <v>6247085</v>
      </c>
      <c r="F6" s="40">
        <v>4.1479599999999998E-2</v>
      </c>
      <c r="G6" s="40">
        <v>4.1749599999999998E-2</v>
      </c>
      <c r="H6" s="40">
        <v>4.1214199999999999E-2</v>
      </c>
      <c r="I6" s="38"/>
    </row>
    <row r="7" spans="1:9">
      <c r="A7" s="38" t="s">
        <v>67</v>
      </c>
      <c r="B7" s="38">
        <v>2015</v>
      </c>
      <c r="C7" s="39">
        <v>19758219</v>
      </c>
      <c r="D7" s="39">
        <v>9819086</v>
      </c>
      <c r="E7" s="39">
        <v>9939131</v>
      </c>
      <c r="F7" s="40">
        <v>5.9231699999999998E-2</v>
      </c>
      <c r="G7" s="40">
        <v>5.9355699999999997E-2</v>
      </c>
      <c r="H7" s="40">
        <v>5.9109799999999997E-2</v>
      </c>
      <c r="I7" s="38"/>
    </row>
    <row r="8" spans="1:9">
      <c r="A8" s="38" t="s">
        <v>67</v>
      </c>
      <c r="B8" s="38">
        <v>2020</v>
      </c>
      <c r="C8" s="39">
        <v>31719442</v>
      </c>
      <c r="D8" s="39">
        <v>15781915</v>
      </c>
      <c r="E8" s="39">
        <v>15937527</v>
      </c>
      <c r="F8" s="40">
        <v>8.5624500000000006E-2</v>
      </c>
      <c r="G8" s="40">
        <v>8.5832000000000006E-2</v>
      </c>
      <c r="H8" s="40">
        <v>8.5420099999999999E-2</v>
      </c>
      <c r="I8" s="38"/>
    </row>
    <row r="9" spans="1:9">
      <c r="A9" s="38" t="s">
        <v>67</v>
      </c>
      <c r="B9" s="38">
        <v>2021</v>
      </c>
      <c r="C9" s="39">
        <v>35695069</v>
      </c>
      <c r="D9" s="39">
        <v>17773929</v>
      </c>
      <c r="E9" s="39">
        <v>17921135</v>
      </c>
      <c r="F9" s="40">
        <v>9.4542899999999999E-2</v>
      </c>
      <c r="G9" s="40">
        <v>9.4834600000000005E-2</v>
      </c>
      <c r="H9" s="40">
        <v>9.42553E-2</v>
      </c>
      <c r="I9" s="38"/>
    </row>
    <row r="10" spans="1:9">
      <c r="A10" s="38" t="s">
        <v>67</v>
      </c>
      <c r="B10" s="38">
        <v>2022</v>
      </c>
      <c r="C10" s="39">
        <v>38217022</v>
      </c>
      <c r="D10" s="39">
        <v>19038250</v>
      </c>
      <c r="E10" s="39">
        <v>19178772</v>
      </c>
      <c r="F10" s="40">
        <v>0.10199999999999999</v>
      </c>
      <c r="G10" s="40">
        <v>9.9584900000000004E-2</v>
      </c>
      <c r="H10" s="40">
        <v>0.10100000000000001</v>
      </c>
      <c r="I10" s="38"/>
    </row>
    <row r="11" spans="1:9">
      <c r="A11" s="38" t="s">
        <v>67</v>
      </c>
      <c r="B11" s="38">
        <v>2023</v>
      </c>
      <c r="C11" s="39">
        <v>45375472</v>
      </c>
      <c r="D11" s="39">
        <v>22528676</v>
      </c>
      <c r="E11" s="39">
        <v>22846800</v>
      </c>
      <c r="F11" s="40">
        <v>0.11558</v>
      </c>
      <c r="G11" s="40">
        <v>0.11557999549462913</v>
      </c>
      <c r="H11" s="40">
        <v>0.11557999316732977</v>
      </c>
      <c r="I11" s="38" t="s">
        <v>118</v>
      </c>
    </row>
    <row r="12" spans="1:9">
      <c r="A12" s="246" t="s">
        <v>67</v>
      </c>
      <c r="B12" s="246">
        <v>2024</v>
      </c>
      <c r="C12" s="39">
        <v>49350798</v>
      </c>
      <c r="D12" s="251">
        <v>24503902</v>
      </c>
      <c r="E12" s="39">
        <v>24846896</v>
      </c>
      <c r="F12" s="250">
        <v>0.1234663</v>
      </c>
      <c r="G12" s="250">
        <v>0.12346625230936452</v>
      </c>
      <c r="H12" s="40">
        <v>0.12346625444490562</v>
      </c>
      <c r="I12" s="38" t="s">
        <v>118</v>
      </c>
    </row>
    <row r="13" spans="1:9">
      <c r="A13" s="38" t="s">
        <v>119</v>
      </c>
      <c r="B13" s="38">
        <v>2000</v>
      </c>
      <c r="C13" s="39">
        <v>3985467</v>
      </c>
      <c r="D13" s="39">
        <v>1973926.7881937327</v>
      </c>
      <c r="E13" s="39">
        <v>2011540.2118062673</v>
      </c>
      <c r="F13" s="40">
        <v>5.7574856745693931E-2</v>
      </c>
      <c r="G13" s="40">
        <v>5.7574856745693938E-2</v>
      </c>
      <c r="H13" s="40">
        <v>5.7574856745693931E-2</v>
      </c>
      <c r="I13" s="38"/>
    </row>
    <row r="14" spans="1:9">
      <c r="A14" s="38" t="s">
        <v>119</v>
      </c>
      <c r="B14" s="38">
        <v>2005</v>
      </c>
      <c r="C14" s="39">
        <v>2422170</v>
      </c>
      <c r="D14" s="39">
        <v>1199809.7867349763</v>
      </c>
      <c r="E14" s="39">
        <v>1222360.2132650237</v>
      </c>
      <c r="F14" s="40">
        <v>3.2830992059632295E-2</v>
      </c>
      <c r="G14" s="40">
        <v>3.2830992059632295E-2</v>
      </c>
      <c r="H14" s="40">
        <v>3.2830992059632295E-2</v>
      </c>
      <c r="I14" s="38"/>
    </row>
    <row r="15" spans="1:9">
      <c r="A15" s="38" t="s">
        <v>119</v>
      </c>
      <c r="B15" s="38">
        <v>2010</v>
      </c>
      <c r="C15" s="39">
        <v>1187992</v>
      </c>
      <c r="D15" s="39">
        <v>588082.15485868859</v>
      </c>
      <c r="E15" s="39">
        <v>599909.84514131141</v>
      </c>
      <c r="F15" s="40">
        <v>1.4996817825509386E-2</v>
      </c>
      <c r="G15" s="40">
        <v>1.4996819355258695E-2</v>
      </c>
      <c r="H15" s="40">
        <v>1.4996817825509386E-2</v>
      </c>
      <c r="I15" s="38"/>
    </row>
    <row r="16" spans="1:9">
      <c r="A16" s="38" t="s">
        <v>119</v>
      </c>
      <c r="B16" s="38">
        <v>2015</v>
      </c>
      <c r="C16" s="39">
        <v>626375</v>
      </c>
      <c r="D16" s="39">
        <v>309957.39101552468</v>
      </c>
      <c r="E16" s="39">
        <v>316417.60898447532</v>
      </c>
      <c r="F16" s="40">
        <v>7.301991555464616E-3</v>
      </c>
      <c r="G16" s="40">
        <v>7.3019915554646169E-3</v>
      </c>
      <c r="H16" s="40">
        <v>7.301991555464616E-3</v>
      </c>
      <c r="I16" s="38"/>
    </row>
    <row r="17" spans="1:9">
      <c r="A17" s="38" t="s">
        <v>119</v>
      </c>
      <c r="B17" s="38">
        <v>2020</v>
      </c>
      <c r="C17" s="39">
        <v>724390</v>
      </c>
      <c r="D17" s="39">
        <v>358509.53433419106</v>
      </c>
      <c r="E17" s="39">
        <v>365880.46566580894</v>
      </c>
      <c r="F17" s="40">
        <v>7.8480286918529325E-3</v>
      </c>
      <c r="G17" s="40">
        <v>7.848028004657271E-3</v>
      </c>
      <c r="H17" s="40">
        <v>7.8480286918529325E-3</v>
      </c>
      <c r="I17" s="38"/>
    </row>
    <row r="18" spans="1:9">
      <c r="A18" s="38" t="s">
        <v>119</v>
      </c>
      <c r="B18" s="38">
        <v>2021</v>
      </c>
      <c r="C18" s="39">
        <v>602405</v>
      </c>
      <c r="D18" s="39">
        <v>298231.5950089168</v>
      </c>
      <c r="E18" s="39">
        <v>304173.4049910832</v>
      </c>
      <c r="F18" s="40">
        <v>6.4416288477185061E-3</v>
      </c>
      <c r="G18" s="40">
        <v>6.4416282911768201E-3</v>
      </c>
      <c r="H18" s="40">
        <v>6.441628847718507E-3</v>
      </c>
      <c r="I18" s="38"/>
    </row>
    <row r="19" spans="1:9">
      <c r="A19" s="38" t="s">
        <v>119</v>
      </c>
      <c r="B19" s="38">
        <v>2022</v>
      </c>
      <c r="C19" s="39">
        <v>599470</v>
      </c>
      <c r="D19" s="39">
        <v>296859.5888988066</v>
      </c>
      <c r="E19" s="39">
        <v>302610.4111011934</v>
      </c>
      <c r="F19" s="40">
        <v>6.329043628265126E-3</v>
      </c>
      <c r="G19" s="40">
        <v>6.3290436282651269E-3</v>
      </c>
      <c r="H19" s="40">
        <v>6.329043628265126E-3</v>
      </c>
      <c r="I19" s="38"/>
    </row>
    <row r="20" spans="1:9">
      <c r="A20" s="38" t="s">
        <v>120</v>
      </c>
      <c r="B20" s="38">
        <v>2000</v>
      </c>
      <c r="C20" s="39">
        <v>1450059</v>
      </c>
      <c r="D20" s="39">
        <v>718443.14936203195</v>
      </c>
      <c r="E20" s="39">
        <v>731615.85063796805</v>
      </c>
      <c r="F20" s="40">
        <v>1.1637073108534131E-2</v>
      </c>
      <c r="G20" s="40">
        <v>1.1637072354562371E-2</v>
      </c>
      <c r="H20" s="40">
        <v>1.1637073108534129E-2</v>
      </c>
      <c r="I20" s="38"/>
    </row>
    <row r="21" spans="1:9">
      <c r="A21" s="38" t="s">
        <v>120</v>
      </c>
      <c r="B21" s="38">
        <v>2005</v>
      </c>
      <c r="C21" s="39">
        <v>2817804</v>
      </c>
      <c r="D21" s="39">
        <v>1395935.5486571954</v>
      </c>
      <c r="E21" s="39">
        <v>1421868.4513428046</v>
      </c>
      <c r="F21" s="40">
        <v>2.0127240436252924E-2</v>
      </c>
      <c r="G21" s="40">
        <v>2.0127238114622754E-2</v>
      </c>
      <c r="H21" s="40">
        <v>2.0127240436252924E-2</v>
      </c>
      <c r="I21" s="38"/>
    </row>
    <row r="22" spans="1:9">
      <c r="A22" s="38" t="s">
        <v>120</v>
      </c>
      <c r="B22" s="38">
        <v>2010</v>
      </c>
      <c r="C22" s="39">
        <v>1640890</v>
      </c>
      <c r="D22" s="39">
        <v>813580.94974157691</v>
      </c>
      <c r="E22" s="39">
        <v>827309.05025842309</v>
      </c>
      <c r="F22" s="40">
        <v>1.0480362074349978E-2</v>
      </c>
      <c r="G22" s="40">
        <v>1.048036099430524E-2</v>
      </c>
      <c r="H22" s="40">
        <v>1.0480362074349978E-2</v>
      </c>
      <c r="I22" s="38"/>
    </row>
    <row r="23" spans="1:9">
      <c r="A23" s="38" t="s">
        <v>120</v>
      </c>
      <c r="B23" s="38">
        <v>2015</v>
      </c>
      <c r="C23" s="39">
        <v>3012311</v>
      </c>
      <c r="D23" s="39">
        <v>1492278.3042802203</v>
      </c>
      <c r="E23" s="39">
        <v>1520032.6957197797</v>
      </c>
      <c r="F23" s="40">
        <v>1.7227966241979756E-2</v>
      </c>
      <c r="G23" s="40">
        <v>1.7227966241979756E-2</v>
      </c>
      <c r="H23" s="40">
        <v>1.7227966241979756E-2</v>
      </c>
      <c r="I23" s="38"/>
    </row>
    <row r="24" spans="1:9">
      <c r="A24" s="38" t="s">
        <v>120</v>
      </c>
      <c r="B24" s="38">
        <v>2020</v>
      </c>
      <c r="C24" s="39">
        <v>3831659</v>
      </c>
      <c r="D24" s="39">
        <v>1900243.9743807202</v>
      </c>
      <c r="E24" s="39">
        <v>1931415.0256192798</v>
      </c>
      <c r="F24" s="40">
        <v>1.993686631337116E-2</v>
      </c>
      <c r="G24" s="40">
        <v>1.9936867986750696E-2</v>
      </c>
      <c r="H24" s="40">
        <v>1.993686631337116E-2</v>
      </c>
      <c r="I24" s="38"/>
    </row>
    <row r="25" spans="1:9">
      <c r="A25" s="38" t="s">
        <v>120</v>
      </c>
      <c r="B25" s="38">
        <v>2021</v>
      </c>
      <c r="C25" s="39">
        <v>5949270</v>
      </c>
      <c r="D25" s="39">
        <v>2950448.6988128214</v>
      </c>
      <c r="E25" s="39">
        <v>2998821.3011871786</v>
      </c>
      <c r="F25" s="40">
        <v>3.0386938260956758E-2</v>
      </c>
      <c r="G25" s="40">
        <v>3.0386935757294346E-2</v>
      </c>
      <c r="H25" s="40">
        <v>3.0386938260956755E-2</v>
      </c>
      <c r="I25" s="38"/>
    </row>
    <row r="26" spans="1:9">
      <c r="A26" s="38" t="s">
        <v>120</v>
      </c>
      <c r="B26" s="38">
        <v>2022</v>
      </c>
      <c r="C26" s="39">
        <v>6843423</v>
      </c>
      <c r="D26" s="39">
        <v>3390431.3471449451</v>
      </c>
      <c r="E26" s="39">
        <v>3452991.6528550549</v>
      </c>
      <c r="F26" s="40">
        <v>3.5286114908372114E-2</v>
      </c>
      <c r="G26" s="40">
        <v>3.5286114908372107E-2</v>
      </c>
      <c r="H26" s="40">
        <v>3.5286114908372121E-2</v>
      </c>
      <c r="I26" s="38"/>
    </row>
    <row r="27" spans="1:9">
      <c r="A27" s="38" t="s">
        <v>121</v>
      </c>
      <c r="B27" s="38">
        <v>2000</v>
      </c>
      <c r="C27" s="39">
        <v>8736386</v>
      </c>
      <c r="D27" s="39">
        <v>4339918.214432559</v>
      </c>
      <c r="E27" s="39">
        <v>4396467.785567441</v>
      </c>
      <c r="F27" s="40">
        <v>0.17865356783795464</v>
      </c>
      <c r="G27" s="40">
        <v>0.17865356783795466</v>
      </c>
      <c r="H27" s="40">
        <v>0.17865356783795461</v>
      </c>
      <c r="I27" s="38"/>
    </row>
    <row r="28" spans="1:9">
      <c r="A28" s="38" t="s">
        <v>121</v>
      </c>
      <c r="B28" s="38">
        <v>2005</v>
      </c>
      <c r="C28" s="39">
        <v>8497779</v>
      </c>
      <c r="D28" s="39">
        <v>4227445.1031389106</v>
      </c>
      <c r="E28" s="39">
        <v>4270333.8968610894</v>
      </c>
      <c r="F28" s="40">
        <v>0.15367480408394268</v>
      </c>
      <c r="G28" s="40">
        <v>0.15367480408394271</v>
      </c>
      <c r="H28" s="40">
        <v>0.15367480408394268</v>
      </c>
      <c r="I28" s="38"/>
    </row>
    <row r="29" spans="1:9">
      <c r="A29" s="38" t="s">
        <v>121</v>
      </c>
      <c r="B29" s="38">
        <v>2010</v>
      </c>
      <c r="C29" s="39">
        <v>9640053</v>
      </c>
      <c r="D29" s="39">
        <v>4799978.4416232854</v>
      </c>
      <c r="E29" s="39">
        <v>4840074.5583767146</v>
      </c>
      <c r="F29" s="40">
        <v>0.15186312343171468</v>
      </c>
      <c r="G29" s="40">
        <v>0.15186312343171468</v>
      </c>
      <c r="H29" s="40">
        <v>0.15186312343171468</v>
      </c>
      <c r="I29" s="38"/>
    </row>
    <row r="30" spans="1:9">
      <c r="A30" s="38" t="s">
        <v>121</v>
      </c>
      <c r="B30" s="38">
        <v>2015</v>
      </c>
      <c r="C30" s="39">
        <v>16119533</v>
      </c>
      <c r="D30" s="39">
        <v>8030023.1590374717</v>
      </c>
      <c r="E30" s="39">
        <v>8089509.8409625283</v>
      </c>
      <c r="F30" s="40">
        <v>0.2227364977423924</v>
      </c>
      <c r="G30" s="40">
        <v>0.22273647302936683</v>
      </c>
      <c r="H30" s="40">
        <v>0.22273649774239243</v>
      </c>
      <c r="I30" s="38"/>
    </row>
    <row r="31" spans="1:9">
      <c r="A31" s="38" t="s">
        <v>121</v>
      </c>
      <c r="B31" s="38">
        <v>2020</v>
      </c>
      <c r="C31" s="39">
        <v>27163392</v>
      </c>
      <c r="D31" s="39">
        <v>13542651.30963783</v>
      </c>
      <c r="E31" s="39">
        <v>13620740.69036217</v>
      </c>
      <c r="F31" s="40">
        <v>0.32679944392321336</v>
      </c>
      <c r="G31" s="40">
        <v>0.32679941237906035</v>
      </c>
      <c r="H31" s="40">
        <v>0.32679944392321336</v>
      </c>
      <c r="I31" s="38"/>
    </row>
    <row r="32" spans="1:9">
      <c r="A32" s="38" t="s">
        <v>121</v>
      </c>
      <c r="B32" s="38">
        <v>2021</v>
      </c>
      <c r="C32" s="39">
        <v>29143394</v>
      </c>
      <c r="D32" s="39">
        <v>14532407.595163429</v>
      </c>
      <c r="E32" s="39">
        <v>14610986.404836571</v>
      </c>
      <c r="F32" s="40">
        <v>0.34213491271527691</v>
      </c>
      <c r="G32" s="40">
        <v>0.3421348804958978</v>
      </c>
      <c r="H32" s="40">
        <v>0.34213491271527685</v>
      </c>
      <c r="I32" s="38"/>
    </row>
    <row r="33" spans="1:9">
      <c r="A33" s="38" t="s">
        <v>121</v>
      </c>
      <c r="B33" s="38">
        <v>2022</v>
      </c>
      <c r="C33" s="39">
        <v>30774128</v>
      </c>
      <c r="D33" s="39">
        <v>15348706.621694466</v>
      </c>
      <c r="E33" s="39">
        <v>15425421.378305534</v>
      </c>
      <c r="F33" s="40">
        <v>0.35265315447129431</v>
      </c>
      <c r="G33" s="40">
        <v>0.35265315447129431</v>
      </c>
      <c r="H33" s="40">
        <v>0.35265315447129431</v>
      </c>
      <c r="I33" s="38"/>
    </row>
  </sheetData>
  <mergeCells count="3">
    <mergeCell ref="C1:I1"/>
    <mergeCell ref="C2:E2"/>
    <mergeCell ref="F2:H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FB0B-7A2D-412A-A673-24BF8CA9D1F8}">
  <sheetPr codeName="Sheet12">
    <tabColor theme="0" tint="-0.499984740745262"/>
  </sheetPr>
  <dimension ref="A1:N20"/>
  <sheetViews>
    <sheetView showGridLines="0" zoomScale="70" zoomScaleNormal="70" workbookViewId="0">
      <pane xSplit="1" ySplit="3" topLeftCell="B4" activePane="bottomRight" state="frozen"/>
      <selection pane="topRight" activeCell="C1" sqref="C1:I1"/>
      <selection pane="bottomLeft" activeCell="C1" sqref="C1:I1"/>
      <selection pane="bottomRight"/>
    </sheetView>
  </sheetViews>
  <sheetFormatPr defaultRowHeight="14.5"/>
  <cols>
    <col min="1" max="1" width="13.453125" bestFit="1" customWidth="1"/>
    <col min="2" max="2" width="11.453125" bestFit="1" customWidth="1"/>
    <col min="3" max="8" width="13.81640625" style="58" customWidth="1"/>
    <col min="9" max="26" width="13.81640625" customWidth="1"/>
  </cols>
  <sheetData>
    <row r="1" spans="1:14">
      <c r="A1" t="s">
        <v>101</v>
      </c>
      <c r="C1" s="455" t="s">
        <v>131</v>
      </c>
      <c r="D1" s="455"/>
      <c r="E1" s="455"/>
      <c r="F1" s="455" t="s">
        <v>132</v>
      </c>
      <c r="G1" s="455"/>
      <c r="H1" s="455"/>
      <c r="I1" s="455" t="s">
        <v>133</v>
      </c>
      <c r="J1" s="455"/>
      <c r="K1" s="455"/>
      <c r="L1" s="455" t="s">
        <v>134</v>
      </c>
      <c r="M1" s="455"/>
      <c r="N1" s="455"/>
    </row>
    <row r="2" spans="1:14" ht="20.149999999999999" customHeight="1">
      <c r="C2" s="455"/>
      <c r="D2" s="455"/>
      <c r="E2" s="455"/>
      <c r="F2" s="455"/>
      <c r="G2" s="455"/>
      <c r="H2" s="455"/>
      <c r="I2" s="455"/>
      <c r="J2" s="455"/>
      <c r="K2" s="455"/>
      <c r="L2" s="455"/>
      <c r="M2" s="455"/>
      <c r="N2" s="455"/>
    </row>
    <row r="3" spans="1:14">
      <c r="A3" s="35" t="s">
        <v>113</v>
      </c>
      <c r="B3" s="35" t="s">
        <v>104</v>
      </c>
      <c r="C3" s="56" t="s">
        <v>114</v>
      </c>
      <c r="D3" s="56" t="s">
        <v>115</v>
      </c>
      <c r="E3" s="56" t="s">
        <v>116</v>
      </c>
      <c r="F3" s="56" t="s">
        <v>114</v>
      </c>
      <c r="G3" s="56" t="s">
        <v>115</v>
      </c>
      <c r="H3" s="56" t="s">
        <v>116</v>
      </c>
      <c r="I3" s="56" t="s">
        <v>114</v>
      </c>
      <c r="J3" s="56" t="s">
        <v>115</v>
      </c>
      <c r="K3" s="56" t="s">
        <v>116</v>
      </c>
      <c r="L3" s="56" t="s">
        <v>114</v>
      </c>
      <c r="M3" s="56" t="s">
        <v>115</v>
      </c>
      <c r="N3" s="56" t="s">
        <v>116</v>
      </c>
    </row>
    <row r="4" spans="1:14">
      <c r="A4" s="35" t="s">
        <v>67</v>
      </c>
      <c r="B4" s="35">
        <v>2010</v>
      </c>
      <c r="C4" s="57">
        <v>28.417000000000002</v>
      </c>
      <c r="D4" s="57">
        <v>26.161000000000001</v>
      </c>
      <c r="E4" s="57">
        <v>30.52</v>
      </c>
      <c r="F4" s="57">
        <v>14.672000000000001</v>
      </c>
      <c r="G4" s="57">
        <v>13.901999999999999</v>
      </c>
      <c r="H4" s="57">
        <v>15.407999999999999</v>
      </c>
      <c r="I4" s="57">
        <v>17.731999999999999</v>
      </c>
      <c r="J4" s="57">
        <v>17.111000000000001</v>
      </c>
      <c r="K4" s="57">
        <v>18.309999999999999</v>
      </c>
      <c r="L4" s="57"/>
      <c r="M4" s="57">
        <v>6.492</v>
      </c>
      <c r="N4" s="57"/>
    </row>
    <row r="5" spans="1:14">
      <c r="A5" s="35" t="s">
        <v>67</v>
      </c>
      <c r="B5" s="35">
        <v>2015</v>
      </c>
      <c r="C5" s="57">
        <v>30.334</v>
      </c>
      <c r="D5" s="57">
        <v>27.866</v>
      </c>
      <c r="E5" s="57">
        <v>32.627000000000002</v>
      </c>
      <c r="F5" s="57">
        <v>17.41</v>
      </c>
      <c r="G5" s="57">
        <v>16.504000000000001</v>
      </c>
      <c r="H5" s="57">
        <v>18.277999999999999</v>
      </c>
      <c r="I5" s="57">
        <v>18.059000000000001</v>
      </c>
      <c r="J5" s="57">
        <v>17.16</v>
      </c>
      <c r="K5" s="57">
        <v>18.893999999999998</v>
      </c>
      <c r="L5" s="57"/>
      <c r="M5" s="57">
        <v>6.6349999999999998</v>
      </c>
      <c r="N5" s="57"/>
    </row>
    <row r="6" spans="1:14">
      <c r="A6" s="35" t="s">
        <v>67</v>
      </c>
      <c r="B6" s="35">
        <v>2020</v>
      </c>
      <c r="C6" s="57">
        <v>31.231999999999999</v>
      </c>
      <c r="D6" s="57">
        <v>29.41</v>
      </c>
      <c r="E6" s="57">
        <v>32.929000000000002</v>
      </c>
      <c r="F6" s="57">
        <v>20.364000000000001</v>
      </c>
      <c r="G6" s="57">
        <v>19.41</v>
      </c>
      <c r="H6" s="57">
        <v>21.276</v>
      </c>
      <c r="I6" s="57">
        <v>17.524000000000001</v>
      </c>
      <c r="J6" s="57">
        <v>16.902000000000001</v>
      </c>
      <c r="K6" s="57">
        <v>18.102</v>
      </c>
      <c r="L6" s="57"/>
      <c r="M6" s="57">
        <v>8.2129999999999992</v>
      </c>
      <c r="N6" s="57"/>
    </row>
    <row r="7" spans="1:14">
      <c r="A7" s="35" t="s">
        <v>67</v>
      </c>
      <c r="B7" s="35">
        <v>2021</v>
      </c>
      <c r="C7" s="57">
        <v>31.899000000000001</v>
      </c>
      <c r="D7" s="57">
        <v>30.620999999999999</v>
      </c>
      <c r="E7" s="57">
        <v>33.091999999999999</v>
      </c>
      <c r="F7" s="57">
        <v>21.626000000000001</v>
      </c>
      <c r="G7" s="57">
        <v>20.853999999999999</v>
      </c>
      <c r="H7" s="57">
        <v>22.364000000000001</v>
      </c>
      <c r="I7" s="57">
        <v>17.198</v>
      </c>
      <c r="J7" s="57">
        <v>16.709</v>
      </c>
      <c r="K7" s="57">
        <v>17.655000000000001</v>
      </c>
      <c r="L7" s="57"/>
      <c r="M7" s="57">
        <v>8.4060000000000006</v>
      </c>
      <c r="N7" s="57"/>
    </row>
    <row r="8" spans="1:14">
      <c r="A8" s="35" t="s">
        <v>67</v>
      </c>
      <c r="B8" s="35">
        <v>2022</v>
      </c>
      <c r="C8" s="57">
        <v>32.378999999999998</v>
      </c>
      <c r="D8" s="57">
        <v>31.675000000000001</v>
      </c>
      <c r="E8" s="57">
        <v>33.036999999999999</v>
      </c>
      <c r="F8" s="57">
        <v>22.587</v>
      </c>
      <c r="G8" s="57">
        <v>21.940999999999999</v>
      </c>
      <c r="H8" s="57">
        <v>23.204000000000001</v>
      </c>
      <c r="I8" s="57">
        <v>16.742000000000001</v>
      </c>
      <c r="J8" s="57">
        <v>16.347000000000001</v>
      </c>
      <c r="K8" s="57">
        <v>17.111000000000001</v>
      </c>
      <c r="L8" s="57"/>
      <c r="M8" s="57">
        <v>8.4559999999999995</v>
      </c>
      <c r="N8" s="57"/>
    </row>
    <row r="9" spans="1:14">
      <c r="A9" s="228" t="s">
        <v>67</v>
      </c>
      <c r="B9" s="228">
        <v>2023</v>
      </c>
      <c r="C9" s="252">
        <v>32.454000000000001</v>
      </c>
      <c r="D9" s="252">
        <v>31.757999999999999</v>
      </c>
      <c r="E9" s="252">
        <v>33.104999999999997</v>
      </c>
      <c r="F9" s="57">
        <v>22.861000000000001</v>
      </c>
      <c r="G9" s="57">
        <v>22.247</v>
      </c>
      <c r="H9" s="57">
        <v>23.448</v>
      </c>
      <c r="I9" s="252">
        <v>16.719000000000001</v>
      </c>
      <c r="J9" s="57">
        <v>16.361000000000001</v>
      </c>
      <c r="K9" s="57">
        <v>17.053999999999998</v>
      </c>
      <c r="L9" s="57"/>
      <c r="M9" s="252">
        <v>8.5470000000000006</v>
      </c>
      <c r="N9" s="57"/>
    </row>
    <row r="12" spans="1:14">
      <c r="C12" s="455" t="s">
        <v>135</v>
      </c>
      <c r="D12" s="455"/>
      <c r="E12" s="455"/>
      <c r="F12" s="455" t="s">
        <v>136</v>
      </c>
      <c r="G12" s="455"/>
      <c r="H12" s="455"/>
      <c r="I12" s="455" t="s">
        <v>137</v>
      </c>
      <c r="J12" s="455"/>
      <c r="K12" s="455"/>
      <c r="L12" s="455" t="s">
        <v>138</v>
      </c>
      <c r="M12" s="455"/>
      <c r="N12" s="455"/>
    </row>
    <row r="13" spans="1:14" ht="21" customHeight="1">
      <c r="C13" s="455"/>
      <c r="D13" s="455"/>
      <c r="E13" s="455"/>
      <c r="F13" s="455"/>
      <c r="G13" s="455"/>
      <c r="H13" s="455"/>
      <c r="I13" s="455"/>
      <c r="J13" s="455"/>
      <c r="K13" s="455"/>
      <c r="L13" s="455"/>
      <c r="M13" s="455"/>
      <c r="N13" s="455"/>
    </row>
    <row r="14" spans="1:14">
      <c r="A14" s="35" t="s">
        <v>113</v>
      </c>
      <c r="B14" s="35" t="s">
        <v>104</v>
      </c>
      <c r="C14" s="56" t="s">
        <v>114</v>
      </c>
      <c r="D14" s="56" t="s">
        <v>115</v>
      </c>
      <c r="E14" s="56" t="s">
        <v>116</v>
      </c>
      <c r="F14" s="56" t="s">
        <v>114</v>
      </c>
      <c r="G14" s="56" t="s">
        <v>115</v>
      </c>
      <c r="H14" s="56" t="s">
        <v>116</v>
      </c>
      <c r="I14" s="56" t="s">
        <v>114</v>
      </c>
      <c r="J14" s="56" t="s">
        <v>115</v>
      </c>
      <c r="K14" s="56" t="s">
        <v>116</v>
      </c>
      <c r="L14" s="56" t="s">
        <v>114</v>
      </c>
      <c r="M14" s="56" t="s">
        <v>115</v>
      </c>
      <c r="N14" s="56" t="s">
        <v>116</v>
      </c>
    </row>
    <row r="15" spans="1:14">
      <c r="A15" s="35" t="s">
        <v>67</v>
      </c>
      <c r="B15" s="35">
        <v>2010</v>
      </c>
      <c r="C15" s="57">
        <v>34.155000000000001</v>
      </c>
      <c r="D15" s="57">
        <v>20.498000000000001</v>
      </c>
      <c r="E15" s="57">
        <v>50.71</v>
      </c>
      <c r="F15" s="57">
        <v>1.931</v>
      </c>
      <c r="G15" s="57">
        <v>1.284</v>
      </c>
      <c r="H15" s="57">
        <v>2.379</v>
      </c>
      <c r="I15" s="57">
        <v>15.005000000000001</v>
      </c>
      <c r="J15" s="57">
        <v>14.179</v>
      </c>
      <c r="K15" s="57">
        <v>15.775</v>
      </c>
      <c r="L15" s="57">
        <v>36.005000000000003</v>
      </c>
      <c r="M15" s="57">
        <v>38.090000000000003</v>
      </c>
      <c r="N15" s="57">
        <v>35.521000000000001</v>
      </c>
    </row>
    <row r="16" spans="1:14">
      <c r="A16" s="35" t="s">
        <v>67</v>
      </c>
      <c r="B16" s="35">
        <v>2015</v>
      </c>
      <c r="C16" s="57">
        <v>37.737000000000002</v>
      </c>
      <c r="D16" s="57">
        <v>22.957999999999998</v>
      </c>
      <c r="E16" s="57">
        <v>55.692</v>
      </c>
      <c r="F16" s="57">
        <v>2.2210000000000001</v>
      </c>
      <c r="G16" s="57">
        <v>1.7809999999999999</v>
      </c>
      <c r="H16" s="57">
        <v>2.5089999999999999</v>
      </c>
      <c r="I16" s="57">
        <v>16.792000000000002</v>
      </c>
      <c r="J16" s="57">
        <v>15.717000000000001</v>
      </c>
      <c r="K16" s="57">
        <v>17.791</v>
      </c>
      <c r="L16" s="57">
        <v>34.957000000000001</v>
      </c>
      <c r="M16" s="57">
        <v>37.813000000000002</v>
      </c>
      <c r="N16" s="57">
        <v>34.271000000000001</v>
      </c>
    </row>
    <row r="17" spans="1:14">
      <c r="A17" s="35" t="s">
        <v>67</v>
      </c>
      <c r="B17" s="35">
        <v>2020</v>
      </c>
      <c r="C17" s="57">
        <v>45.570999999999998</v>
      </c>
      <c r="D17" s="57">
        <v>28.744</v>
      </c>
      <c r="E17" s="57">
        <v>65.917000000000002</v>
      </c>
      <c r="F17" s="57">
        <v>2.3879999999999999</v>
      </c>
      <c r="G17" s="57">
        <v>2.2309999999999999</v>
      </c>
      <c r="H17" s="57">
        <v>2.4780000000000002</v>
      </c>
      <c r="I17" s="57">
        <v>18.379000000000001</v>
      </c>
      <c r="J17" s="57">
        <v>18.463999999999999</v>
      </c>
      <c r="K17" s="57">
        <v>18.300999999999998</v>
      </c>
      <c r="L17" s="57">
        <v>35.398000000000003</v>
      </c>
      <c r="M17" s="57">
        <v>38.619999999999997</v>
      </c>
      <c r="N17" s="57">
        <v>34.679000000000002</v>
      </c>
    </row>
    <row r="18" spans="1:14">
      <c r="A18" s="35" t="s">
        <v>67</v>
      </c>
      <c r="B18" s="35">
        <v>2021</v>
      </c>
      <c r="C18" s="57">
        <v>45.709000000000003</v>
      </c>
      <c r="D18" s="57">
        <v>29.408999999999999</v>
      </c>
      <c r="E18" s="57">
        <v>65.412000000000006</v>
      </c>
      <c r="F18" s="57">
        <v>2.2349999999999999</v>
      </c>
      <c r="G18" s="57">
        <v>2.089</v>
      </c>
      <c r="H18" s="57">
        <v>2.319</v>
      </c>
      <c r="I18" s="57">
        <v>19.082000000000001</v>
      </c>
      <c r="J18" s="57">
        <v>19.574000000000002</v>
      </c>
      <c r="K18" s="57">
        <v>18.622</v>
      </c>
      <c r="L18" s="57">
        <v>37.615000000000002</v>
      </c>
      <c r="M18" s="57">
        <v>40.902000000000001</v>
      </c>
      <c r="N18" s="57">
        <v>36.856000000000002</v>
      </c>
    </row>
    <row r="19" spans="1:14">
      <c r="A19" s="35" t="s">
        <v>67</v>
      </c>
      <c r="B19" s="35">
        <v>2022</v>
      </c>
      <c r="C19" s="57">
        <v>45.481999999999999</v>
      </c>
      <c r="D19" s="57">
        <v>29.036000000000001</v>
      </c>
      <c r="E19" s="57">
        <v>65.322999999999993</v>
      </c>
      <c r="F19" s="57">
        <v>2.1850000000000001</v>
      </c>
      <c r="G19" s="57">
        <v>1.994</v>
      </c>
      <c r="H19" s="57">
        <v>2.2949999999999999</v>
      </c>
      <c r="I19" s="57">
        <v>19.651</v>
      </c>
      <c r="J19" s="57">
        <v>20.291</v>
      </c>
      <c r="K19" s="57">
        <v>19.052</v>
      </c>
      <c r="L19" s="57">
        <v>38.066000000000003</v>
      </c>
      <c r="M19" s="57">
        <v>41.652000000000001</v>
      </c>
      <c r="N19" s="57">
        <v>37.237000000000002</v>
      </c>
    </row>
    <row r="20" spans="1:14">
      <c r="A20" s="228" t="s">
        <v>67</v>
      </c>
      <c r="B20" s="228">
        <v>2023</v>
      </c>
      <c r="C20" s="57">
        <v>45.445999999999998</v>
      </c>
      <c r="D20" s="252">
        <v>29.094000000000001</v>
      </c>
      <c r="E20" s="252">
        <v>65.100999999999999</v>
      </c>
      <c r="F20" s="57">
        <v>2.1190000000000002</v>
      </c>
      <c r="G20" s="57">
        <v>1.9279999999999999</v>
      </c>
      <c r="H20" s="57">
        <v>2.2330000000000001</v>
      </c>
      <c r="I20" s="57">
        <v>19.72</v>
      </c>
      <c r="J20" s="57">
        <v>20.529</v>
      </c>
      <c r="K20" s="57">
        <v>18.962</v>
      </c>
      <c r="L20" s="57">
        <v>38.375999999999998</v>
      </c>
      <c r="M20" s="57">
        <v>42.348999999999997</v>
      </c>
      <c r="N20" s="57">
        <v>37.453000000000003</v>
      </c>
    </row>
  </sheetData>
  <mergeCells count="8">
    <mergeCell ref="C1:E2"/>
    <mergeCell ref="F1:H2"/>
    <mergeCell ref="I1:K2"/>
    <mergeCell ref="L1:N2"/>
    <mergeCell ref="C12:E13"/>
    <mergeCell ref="F12:H13"/>
    <mergeCell ref="I12:K13"/>
    <mergeCell ref="L12:N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65703-A839-4D5A-ABBE-40059ED057C7}">
  <sheetPr codeName="Sheet11">
    <tabColor theme="4" tint="0.39997558519241921"/>
  </sheetPr>
  <dimension ref="A1:N14"/>
  <sheetViews>
    <sheetView showGridLines="0" zoomScale="70" zoomScaleNormal="70" workbookViewId="0">
      <pane xSplit="2" ySplit="3" topLeftCell="C4" activePane="bottomRight" state="frozen"/>
      <selection pane="topRight" activeCell="C1" sqref="C1:I1"/>
      <selection pane="bottomLeft" activeCell="C1" sqref="C1:I1"/>
      <selection pane="bottomRight" activeCell="H5" sqref="H5"/>
    </sheetView>
  </sheetViews>
  <sheetFormatPr defaultRowHeight="14.5"/>
  <cols>
    <col min="1" max="1" width="14.54296875" bestFit="1" customWidth="1"/>
    <col min="2" max="2" width="11.81640625" style="53" customWidth="1"/>
    <col min="3" max="14" width="13" customWidth="1"/>
  </cols>
  <sheetData>
    <row r="1" spans="1:14">
      <c r="C1" s="456" t="s">
        <v>128</v>
      </c>
      <c r="D1" s="456"/>
      <c r="E1" s="456"/>
      <c r="F1" s="456"/>
      <c r="G1" s="456"/>
      <c r="H1" s="456"/>
      <c r="I1" s="456" t="s">
        <v>129</v>
      </c>
      <c r="J1" s="456"/>
      <c r="K1" s="456"/>
      <c r="L1" s="456"/>
      <c r="M1" s="456"/>
      <c r="N1" s="456"/>
    </row>
    <row r="2" spans="1:14">
      <c r="C2" s="457" t="s">
        <v>112</v>
      </c>
      <c r="D2" s="457"/>
      <c r="E2" s="457"/>
      <c r="F2" s="457" t="s">
        <v>102</v>
      </c>
      <c r="G2" s="457"/>
      <c r="H2" s="457"/>
      <c r="I2" s="457" t="s">
        <v>112</v>
      </c>
      <c r="J2" s="457"/>
      <c r="K2" s="457"/>
      <c r="L2" s="457" t="s">
        <v>102</v>
      </c>
      <c r="M2" s="457"/>
      <c r="N2" s="457"/>
    </row>
    <row r="3" spans="1:14">
      <c r="A3" s="35" t="s">
        <v>113</v>
      </c>
      <c r="B3" s="44" t="s">
        <v>104</v>
      </c>
      <c r="C3" s="45" t="s">
        <v>114</v>
      </c>
      <c r="D3" s="45" t="s">
        <v>115</v>
      </c>
      <c r="E3" s="45" t="s">
        <v>116</v>
      </c>
      <c r="F3" s="45" t="s">
        <v>114</v>
      </c>
      <c r="G3" s="45" t="s">
        <v>115</v>
      </c>
      <c r="H3" s="45" t="s">
        <v>116</v>
      </c>
      <c r="I3" s="45" t="s">
        <v>114</v>
      </c>
      <c r="J3" s="45" t="s">
        <v>115</v>
      </c>
      <c r="K3" s="45" t="s">
        <v>116</v>
      </c>
      <c r="L3" s="45" t="s">
        <v>114</v>
      </c>
      <c r="M3" s="45" t="s">
        <v>115</v>
      </c>
      <c r="N3" s="45" t="s">
        <v>116</v>
      </c>
    </row>
    <row r="4" spans="1:14">
      <c r="A4" s="35" t="s">
        <v>67</v>
      </c>
      <c r="B4" s="44">
        <v>2000</v>
      </c>
      <c r="C4" s="54">
        <v>34.868569999999998</v>
      </c>
      <c r="D4" s="54">
        <v>46.584620000000001</v>
      </c>
      <c r="E4" s="54">
        <v>23.828019999999999</v>
      </c>
      <c r="F4" s="55">
        <v>60660602</v>
      </c>
      <c r="G4" s="55">
        <v>39331400</v>
      </c>
      <c r="H4" s="55">
        <v>21329202</v>
      </c>
      <c r="I4" s="54">
        <v>18.765509999999999</v>
      </c>
      <c r="J4" s="54">
        <v>24.883400000000002</v>
      </c>
      <c r="K4" s="54">
        <v>13.087120000000001</v>
      </c>
      <c r="L4" s="55">
        <v>11087754</v>
      </c>
      <c r="M4" s="55">
        <v>7077677</v>
      </c>
      <c r="N4" s="55">
        <v>4010077</v>
      </c>
    </row>
    <row r="5" spans="1:14">
      <c r="A5" s="35" t="s">
        <v>67</v>
      </c>
      <c r="B5" s="44">
        <v>2005</v>
      </c>
      <c r="C5" s="54">
        <v>28.596150000000002</v>
      </c>
      <c r="D5" s="54">
        <v>39.55077</v>
      </c>
      <c r="E5" s="54">
        <v>18.29888</v>
      </c>
      <c r="F5" s="55">
        <v>57712456</v>
      </c>
      <c r="G5" s="55">
        <v>38711544</v>
      </c>
      <c r="H5" s="55">
        <v>19000912</v>
      </c>
      <c r="I5" s="54">
        <v>15.097390000000001</v>
      </c>
      <c r="J5" s="54">
        <v>20.4163</v>
      </c>
      <c r="K5" s="54">
        <v>10.05898</v>
      </c>
      <c r="L5" s="55">
        <v>9938057</v>
      </c>
      <c r="M5" s="55">
        <v>6537912</v>
      </c>
      <c r="N5" s="55">
        <v>3400145</v>
      </c>
    </row>
    <row r="6" spans="1:14">
      <c r="A6" s="35" t="s">
        <v>67</v>
      </c>
      <c r="B6" s="44">
        <v>2010</v>
      </c>
      <c r="C6" s="54">
        <v>29.560289999999998</v>
      </c>
      <c r="D6" s="54">
        <v>39.103389999999997</v>
      </c>
      <c r="E6" s="54">
        <v>20.802720000000001</v>
      </c>
      <c r="F6" s="55">
        <v>70260260</v>
      </c>
      <c r="G6" s="55">
        <v>44521656</v>
      </c>
      <c r="H6" s="55">
        <v>25738604</v>
      </c>
      <c r="I6" s="54">
        <v>16.792390000000001</v>
      </c>
      <c r="J6" s="54">
        <v>21.15286</v>
      </c>
      <c r="K6" s="54">
        <v>12.75883</v>
      </c>
      <c r="L6" s="55">
        <v>12280732</v>
      </c>
      <c r="M6" s="55">
        <v>7434966</v>
      </c>
      <c r="N6" s="55">
        <v>4845766</v>
      </c>
    </row>
    <row r="7" spans="1:14">
      <c r="A7" s="35" t="s">
        <v>67</v>
      </c>
      <c r="B7" s="44">
        <v>2015</v>
      </c>
      <c r="C7" s="54">
        <v>24.97946</v>
      </c>
      <c r="D7" s="54">
        <v>33.619509999999998</v>
      </c>
      <c r="E7" s="54">
        <v>17.15429</v>
      </c>
      <c r="F7" s="55">
        <v>65754744</v>
      </c>
      <c r="G7" s="55">
        <v>42017192</v>
      </c>
      <c r="H7" s="55">
        <v>23737552</v>
      </c>
      <c r="I7" s="54">
        <v>13.89615</v>
      </c>
      <c r="J7" s="54">
        <v>17.080760000000001</v>
      </c>
      <c r="K7" s="54">
        <v>10.991809999999999</v>
      </c>
      <c r="L7" s="55">
        <v>10269799</v>
      </c>
      <c r="M7" s="55">
        <v>6019712</v>
      </c>
      <c r="N7" s="55">
        <v>4250087</v>
      </c>
    </row>
    <row r="8" spans="1:14">
      <c r="A8" s="35" t="s">
        <v>67</v>
      </c>
      <c r="B8" s="44">
        <v>2020</v>
      </c>
      <c r="C8" s="54">
        <v>24.878540000000001</v>
      </c>
      <c r="D8" s="54">
        <v>32.560699999999997</v>
      </c>
      <c r="E8" s="54">
        <v>17.88805</v>
      </c>
      <c r="F8" s="55">
        <v>72746632</v>
      </c>
      <c r="G8" s="55">
        <v>45381032</v>
      </c>
      <c r="H8" s="55">
        <v>27365600</v>
      </c>
      <c r="I8" s="54">
        <v>14.1478</v>
      </c>
      <c r="J8" s="54">
        <v>16.699310000000001</v>
      </c>
      <c r="K8" s="54">
        <v>11.755789999999999</v>
      </c>
      <c r="L8" s="55">
        <v>10782524</v>
      </c>
      <c r="M8" s="55">
        <v>6162837</v>
      </c>
      <c r="N8" s="55">
        <v>4619687</v>
      </c>
    </row>
    <row r="9" spans="1:14">
      <c r="A9" s="35" t="s">
        <v>67</v>
      </c>
      <c r="B9" s="44">
        <v>2021</v>
      </c>
      <c r="C9" s="54">
        <v>24.460429999999999</v>
      </c>
      <c r="D9" s="54">
        <v>32.002960000000002</v>
      </c>
      <c r="E9" s="54">
        <v>17.587140000000002</v>
      </c>
      <c r="F9" s="55">
        <v>73230064</v>
      </c>
      <c r="G9" s="55">
        <v>45697048</v>
      </c>
      <c r="H9" s="55">
        <v>27533016</v>
      </c>
      <c r="I9" s="54">
        <v>13.81926</v>
      </c>
      <c r="J9" s="54">
        <v>16.26304</v>
      </c>
      <c r="K9" s="54">
        <v>11.51951</v>
      </c>
      <c r="L9" s="55">
        <v>10692477</v>
      </c>
      <c r="M9" s="55">
        <v>6104020</v>
      </c>
      <c r="N9" s="55">
        <v>4588457</v>
      </c>
    </row>
    <row r="10" spans="1:14">
      <c r="A10" s="35" t="s">
        <v>67</v>
      </c>
      <c r="B10" s="44">
        <v>2022</v>
      </c>
      <c r="C10" s="54">
        <v>24.181539999999998</v>
      </c>
      <c r="D10" s="54">
        <v>31.536280000000001</v>
      </c>
      <c r="E10" s="54">
        <v>17.448640000000001</v>
      </c>
      <c r="F10" s="55">
        <v>73699364</v>
      </c>
      <c r="G10" s="55">
        <v>45961856</v>
      </c>
      <c r="H10" s="55">
        <v>27737508</v>
      </c>
      <c r="I10" s="54">
        <v>13.60679</v>
      </c>
      <c r="J10" s="54">
        <v>15.92562</v>
      </c>
      <c r="K10" s="54">
        <v>11.41789</v>
      </c>
      <c r="L10" s="55">
        <v>10687807</v>
      </c>
      <c r="M10" s="55">
        <v>6078926</v>
      </c>
      <c r="N10" s="55">
        <v>4608881</v>
      </c>
    </row>
    <row r="11" spans="1:14">
      <c r="A11" s="228" t="s">
        <v>67</v>
      </c>
      <c r="B11" s="254">
        <v>2023</v>
      </c>
      <c r="C11" s="54">
        <v>23.845739999999999</v>
      </c>
      <c r="D11" s="253">
        <v>31.108830000000001</v>
      </c>
      <c r="E11" s="253">
        <v>17.208390000000001</v>
      </c>
      <c r="F11" s="55">
        <v>74478960</v>
      </c>
      <c r="G11" s="251">
        <v>46420888</v>
      </c>
      <c r="H11" s="251">
        <v>28058072</v>
      </c>
      <c r="I11" s="54">
        <v>13.41943</v>
      </c>
      <c r="J11" s="253">
        <v>15.64434</v>
      </c>
      <c r="K11" s="54">
        <v>11.31668</v>
      </c>
      <c r="L11" s="55">
        <v>10775332</v>
      </c>
      <c r="M11" s="55">
        <v>6107340</v>
      </c>
      <c r="N11" s="55">
        <v>4667992</v>
      </c>
    </row>
    <row r="14" spans="1:14">
      <c r="A14" t="s">
        <v>130</v>
      </c>
    </row>
  </sheetData>
  <mergeCells count="6">
    <mergeCell ref="C1:H1"/>
    <mergeCell ref="I1:N1"/>
    <mergeCell ref="C2:E2"/>
    <mergeCell ref="F2:H2"/>
    <mergeCell ref="I2:K2"/>
    <mergeCell ref="L2:N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B7BBE-B0F5-40A3-8AE7-BEF5363CF212}">
  <sheetPr codeName="Sheet13">
    <tabColor theme="4" tint="0.39997558519241921"/>
  </sheetPr>
  <dimension ref="A1:H10"/>
  <sheetViews>
    <sheetView showGridLines="0" zoomScale="70" zoomScaleNormal="70" workbookViewId="0"/>
  </sheetViews>
  <sheetFormatPr defaultRowHeight="14.5"/>
  <cols>
    <col min="1" max="1" width="15.453125" bestFit="1" customWidth="1"/>
    <col min="2" max="2" width="10.81640625" bestFit="1" customWidth="1"/>
    <col min="3" max="8" width="13.1796875" customWidth="1"/>
  </cols>
  <sheetData>
    <row r="1" spans="1:8" ht="16">
      <c r="A1" t="s">
        <v>139</v>
      </c>
      <c r="C1" s="458" t="s">
        <v>140</v>
      </c>
      <c r="D1" s="458"/>
      <c r="E1" s="458"/>
      <c r="F1" s="458"/>
      <c r="G1" s="458"/>
      <c r="H1" s="458"/>
    </row>
    <row r="2" spans="1:8">
      <c r="C2" s="459" t="s">
        <v>112</v>
      </c>
      <c r="D2" s="459"/>
      <c r="E2" s="459"/>
      <c r="F2" s="459" t="s">
        <v>102</v>
      </c>
      <c r="G2" s="459"/>
      <c r="H2" s="459"/>
    </row>
    <row r="3" spans="1:8">
      <c r="A3" s="35" t="s">
        <v>113</v>
      </c>
      <c r="B3" s="35" t="s">
        <v>104</v>
      </c>
      <c r="C3" s="59" t="s">
        <v>114</v>
      </c>
      <c r="D3" s="59" t="s">
        <v>115</v>
      </c>
      <c r="E3" s="59" t="s">
        <v>116</v>
      </c>
      <c r="F3" s="36" t="s">
        <v>114</v>
      </c>
      <c r="G3" s="36" t="s">
        <v>115</v>
      </c>
      <c r="H3" s="36" t="s">
        <v>116</v>
      </c>
    </row>
    <row r="4" spans="1:8">
      <c r="A4" s="35" t="s">
        <v>67</v>
      </c>
      <c r="B4" s="44">
        <v>2000</v>
      </c>
      <c r="C4" s="60">
        <v>31.6341</v>
      </c>
      <c r="D4" s="60">
        <v>44.797600000000003</v>
      </c>
      <c r="E4" s="60">
        <v>28.479900000000001</v>
      </c>
      <c r="F4" s="61">
        <v>23215451.095584001</v>
      </c>
      <c r="G4" s="61">
        <v>6354218.3612080002</v>
      </c>
      <c r="H4" s="61">
        <v>16860995.068860002</v>
      </c>
    </row>
    <row r="5" spans="1:8">
      <c r="A5" s="35" t="s">
        <v>67</v>
      </c>
      <c r="B5" s="44">
        <v>2005</v>
      </c>
      <c r="C5" s="60">
        <v>31.005199999999999</v>
      </c>
      <c r="D5" s="60">
        <v>43.465800000000002</v>
      </c>
      <c r="E5" s="60">
        <v>28.043099999999999</v>
      </c>
      <c r="F5" s="61">
        <v>26438513.543648001</v>
      </c>
      <c r="G5" s="61">
        <v>7118258.018046</v>
      </c>
      <c r="H5" s="61">
        <v>19320163.625016</v>
      </c>
    </row>
    <row r="6" spans="1:8">
      <c r="A6" s="35" t="s">
        <v>67</v>
      </c>
      <c r="B6" s="44">
        <v>2010</v>
      </c>
      <c r="C6" s="60">
        <v>27.389099999999999</v>
      </c>
      <c r="D6" s="60">
        <v>39.558199999999999</v>
      </c>
      <c r="E6" s="60">
        <v>24.566199999999998</v>
      </c>
      <c r="F6" s="61">
        <v>28550435.089175995</v>
      </c>
      <c r="G6" s="61">
        <v>7764218.4560599998</v>
      </c>
      <c r="H6" s="61">
        <v>20786151.638896</v>
      </c>
    </row>
    <row r="7" spans="1:8">
      <c r="A7" s="35" t="s">
        <v>67</v>
      </c>
      <c r="B7" s="44">
        <v>2015</v>
      </c>
      <c r="C7" s="60">
        <v>26.386299999999999</v>
      </c>
      <c r="D7" s="60">
        <v>36.491700000000002</v>
      </c>
      <c r="E7" s="60">
        <v>23.960699999999999</v>
      </c>
      <c r="F7" s="61">
        <v>29627652.197311997</v>
      </c>
      <c r="G7" s="61">
        <v>7931109.7271699999</v>
      </c>
      <c r="H7" s="61">
        <v>21696465.605112001</v>
      </c>
    </row>
    <row r="8" spans="1:8">
      <c r="A8" s="35" t="s">
        <v>67</v>
      </c>
      <c r="B8" s="44">
        <v>2020</v>
      </c>
      <c r="C8" s="60">
        <v>24.6708</v>
      </c>
      <c r="D8" s="60">
        <v>29.2469</v>
      </c>
      <c r="E8" s="60">
        <v>23.649899999999999</v>
      </c>
      <c r="F8" s="61">
        <v>29203143.719903998</v>
      </c>
      <c r="G8" s="61">
        <v>6313645.2906000009</v>
      </c>
      <c r="H8" s="61">
        <v>22889292.728111997</v>
      </c>
    </row>
    <row r="9" spans="1:8">
      <c r="A9" s="35" t="s">
        <v>67</v>
      </c>
      <c r="B9" s="44">
        <v>2021</v>
      </c>
      <c r="C9" s="60">
        <v>25.850100000000001</v>
      </c>
      <c r="D9" s="60">
        <v>28.806799999999999</v>
      </c>
      <c r="E9" s="60">
        <v>25.1677</v>
      </c>
      <c r="F9" s="61">
        <v>31612229.982551999</v>
      </c>
      <c r="G9" s="61">
        <v>6605686.1557279993</v>
      </c>
      <c r="H9" s="61">
        <v>25006513.968704</v>
      </c>
    </row>
    <row r="10" spans="1:8">
      <c r="A10" s="228" t="s">
        <v>67</v>
      </c>
      <c r="B10" s="254">
        <v>2022</v>
      </c>
      <c r="C10" s="60">
        <v>25.824999999999999</v>
      </c>
      <c r="D10" s="257">
        <v>28.0032</v>
      </c>
      <c r="E10" s="257">
        <v>25.3217</v>
      </c>
      <c r="F10" s="61">
        <v>33098026.571999997</v>
      </c>
      <c r="G10" s="256">
        <v>6735568.8113279995</v>
      </c>
      <c r="H10" s="61">
        <v>26362391.483959999</v>
      </c>
    </row>
  </sheetData>
  <mergeCells count="3">
    <mergeCell ref="C1:H1"/>
    <mergeCell ref="C2:E2"/>
    <mergeCell ref="F2:H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ACF1-FBB9-4288-99D3-4B3E7F8B095D}">
  <sheetPr>
    <tabColor theme="0" tint="-0.499984740745262"/>
  </sheetPr>
  <dimension ref="A1:AC27"/>
  <sheetViews>
    <sheetView zoomScale="70" zoomScaleNormal="70" workbookViewId="0">
      <selection activeCell="B19" sqref="B19"/>
    </sheetView>
  </sheetViews>
  <sheetFormatPr defaultRowHeight="14.5"/>
  <cols>
    <col min="1" max="29" width="8.81640625" style="240"/>
  </cols>
  <sheetData>
    <row r="1" spans="1:3" ht="16">
      <c r="A1" s="28" t="s">
        <v>453</v>
      </c>
      <c r="B1" s="356" t="s">
        <v>2</v>
      </c>
      <c r="C1" s="356" t="s">
        <v>3</v>
      </c>
    </row>
    <row r="2" spans="1:3">
      <c r="A2" s="13">
        <v>2000</v>
      </c>
      <c r="B2" s="322">
        <v>6.17000007629394</v>
      </c>
      <c r="C2" s="322">
        <v>4.3400001525878897</v>
      </c>
    </row>
    <row r="3" spans="1:3">
      <c r="A3" s="13">
        <v>2001</v>
      </c>
      <c r="B3" s="322">
        <v>6.1399998664855904</v>
      </c>
      <c r="C3" s="322">
        <v>4.4099998474120996</v>
      </c>
    </row>
    <row r="4" spans="1:3">
      <c r="A4" s="13">
        <v>2002</v>
      </c>
      <c r="B4" s="322">
        <v>6.1399998664855904</v>
      </c>
      <c r="C4" s="322">
        <v>4.3299999237060502</v>
      </c>
    </row>
    <row r="5" spans="1:3">
      <c r="A5" s="13">
        <v>2003</v>
      </c>
      <c r="B5" s="322">
        <v>5.8200001716613698</v>
      </c>
      <c r="C5" s="322">
        <v>4.2399997711181596</v>
      </c>
    </row>
    <row r="6" spans="1:3">
      <c r="A6" s="13">
        <v>2004</v>
      </c>
      <c r="B6" s="322">
        <v>5.63000011444091</v>
      </c>
      <c r="C6" s="322">
        <v>4.13000011444091</v>
      </c>
    </row>
    <row r="7" spans="1:3">
      <c r="A7" s="13">
        <v>2005</v>
      </c>
      <c r="B7" s="322">
        <v>5.2699999809265101</v>
      </c>
      <c r="C7" s="322">
        <v>3.8699998855590798</v>
      </c>
    </row>
    <row r="8" spans="1:3">
      <c r="A8" s="13">
        <v>2006</v>
      </c>
      <c r="B8" s="322">
        <v>4.8000001907348597</v>
      </c>
      <c r="C8" s="322">
        <v>3.6199998855590798</v>
      </c>
    </row>
    <row r="9" spans="1:3">
      <c r="A9" s="13">
        <v>2007</v>
      </c>
      <c r="B9" s="322">
        <v>4.5799999237060502</v>
      </c>
      <c r="C9" s="322">
        <v>3.5599999427795401</v>
      </c>
    </row>
    <row r="10" spans="1:3">
      <c r="A10" s="13">
        <v>2008</v>
      </c>
      <c r="B10" s="322">
        <v>4.4299998283386204</v>
      </c>
      <c r="C10" s="322">
        <v>3.3900001049041699</v>
      </c>
    </row>
    <row r="11" spans="1:3">
      <c r="A11" s="13">
        <v>2009</v>
      </c>
      <c r="B11" s="322">
        <v>4.3600001335143999</v>
      </c>
      <c r="C11" s="322">
        <v>3.3499999046325599</v>
      </c>
    </row>
    <row r="12" spans="1:3">
      <c r="A12" s="13">
        <v>2010</v>
      </c>
      <c r="B12" s="322">
        <v>3.9700000286102202</v>
      </c>
      <c r="C12" s="322">
        <v>2.9700000286102202</v>
      </c>
    </row>
    <row r="13" spans="1:3">
      <c r="A13" s="13">
        <v>2011</v>
      </c>
      <c r="B13" s="322">
        <v>3.6900000572204501</v>
      </c>
      <c r="C13" s="322">
        <v>2.95000004768371</v>
      </c>
    </row>
    <row r="14" spans="1:3">
      <c r="A14" s="13">
        <v>2012</v>
      </c>
      <c r="B14" s="322">
        <v>3.7699999809265101</v>
      </c>
      <c r="C14" s="322">
        <v>3.0499999523162802</v>
      </c>
    </row>
    <row r="15" spans="1:3">
      <c r="A15" s="13">
        <v>2013</v>
      </c>
      <c r="B15" s="322">
        <v>3.7699999809265101</v>
      </c>
      <c r="C15" s="322">
        <v>3.1199998855590798</v>
      </c>
    </row>
    <row r="16" spans="1:3">
      <c r="A16" s="13">
        <v>2014</v>
      </c>
      <c r="B16" s="322">
        <v>3.7300000190734801</v>
      </c>
      <c r="C16" s="322">
        <v>3.20000004768371</v>
      </c>
    </row>
    <row r="17" spans="1:3">
      <c r="A17" s="13">
        <v>2015</v>
      </c>
      <c r="B17" s="322">
        <v>4.4400000572204501</v>
      </c>
      <c r="C17" s="322">
        <v>4.5300002098083496</v>
      </c>
    </row>
    <row r="18" spans="1:3">
      <c r="A18" s="13">
        <v>2016</v>
      </c>
      <c r="B18" s="322">
        <v>4.4899997711181596</v>
      </c>
      <c r="C18" s="322">
        <v>4.8600001335143999</v>
      </c>
    </row>
    <row r="19" spans="1:3">
      <c r="A19" s="13">
        <v>2017</v>
      </c>
      <c r="B19" s="322">
        <v>5.8000001907348597</v>
      </c>
      <c r="C19" s="322">
        <v>6.3099999427795401</v>
      </c>
    </row>
    <row r="20" spans="1:3">
      <c r="A20" s="13">
        <v>2018</v>
      </c>
      <c r="B20" s="322">
        <v>7.2199997901916504</v>
      </c>
      <c r="C20" s="322">
        <v>7.6500000953674299</v>
      </c>
    </row>
    <row r="21" spans="1:3">
      <c r="A21" s="13">
        <v>2019</v>
      </c>
      <c r="B21" s="322">
        <v>7.2399997711181596</v>
      </c>
      <c r="C21" s="322">
        <v>7.3499999046325604</v>
      </c>
    </row>
    <row r="22" spans="1:3">
      <c r="A22" s="13">
        <v>2020</v>
      </c>
      <c r="B22" s="322"/>
      <c r="C22" s="322"/>
    </row>
    <row r="23" spans="1:3">
      <c r="A23" s="13">
        <v>2021</v>
      </c>
      <c r="B23" s="322"/>
      <c r="C23" s="322"/>
    </row>
    <row r="24" spans="1:3">
      <c r="A24" s="13">
        <v>2022</v>
      </c>
      <c r="B24" s="322"/>
      <c r="C24" s="322"/>
    </row>
    <row r="25" spans="1:3">
      <c r="A25" s="13">
        <v>2023</v>
      </c>
      <c r="B25" s="322"/>
      <c r="C25" s="322"/>
    </row>
    <row r="27" spans="1:3">
      <c r="A27" s="353" t="s">
        <v>613</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8C0CA-7FE0-4D19-970A-032DE03860CA}">
  <sheetPr>
    <tabColor theme="0" tint="-0.499984740745262"/>
  </sheetPr>
  <dimension ref="A1:AG23"/>
  <sheetViews>
    <sheetView zoomScale="70" zoomScaleNormal="70" workbookViewId="0">
      <selection activeCell="B23" sqref="B23"/>
    </sheetView>
  </sheetViews>
  <sheetFormatPr defaultRowHeight="14.5"/>
  <cols>
    <col min="1" max="1" width="18.1796875" style="240" customWidth="1"/>
    <col min="2" max="3" width="21.453125" style="240" customWidth="1"/>
    <col min="4" max="33" width="8.81640625" style="240"/>
  </cols>
  <sheetData>
    <row r="1" spans="1:3" ht="78.650000000000006" customHeight="1">
      <c r="A1" s="28" t="s">
        <v>4</v>
      </c>
      <c r="B1" s="356" t="s">
        <v>468</v>
      </c>
      <c r="C1" s="356" t="s">
        <v>469</v>
      </c>
    </row>
    <row r="2" spans="1:3">
      <c r="A2" s="13" t="s">
        <v>49</v>
      </c>
      <c r="B2" s="272">
        <v>26.4</v>
      </c>
      <c r="C2" s="273"/>
    </row>
    <row r="3" spans="1:3">
      <c r="A3" s="13" t="s">
        <v>48</v>
      </c>
      <c r="B3" s="272">
        <v>22.2</v>
      </c>
      <c r="C3" s="273"/>
    </row>
    <row r="4" spans="1:3" ht="14.15" customHeight="1">
      <c r="A4" s="13" t="s">
        <v>42</v>
      </c>
      <c r="B4" s="272">
        <v>22.1</v>
      </c>
      <c r="C4" s="273">
        <v>0.3</v>
      </c>
    </row>
    <row r="5" spans="1:3">
      <c r="A5" s="13" t="s">
        <v>45</v>
      </c>
      <c r="B5" s="272">
        <v>19.600000000000001</v>
      </c>
      <c r="C5" s="273">
        <v>0.5</v>
      </c>
    </row>
    <row r="6" spans="1:3">
      <c r="A6" s="13" t="s">
        <v>37</v>
      </c>
      <c r="B6" s="272">
        <v>18.2</v>
      </c>
      <c r="C6" s="273"/>
    </row>
    <row r="7" spans="1:3">
      <c r="A7" s="13" t="s">
        <v>38</v>
      </c>
      <c r="B7" s="272">
        <v>14</v>
      </c>
      <c r="C7" s="273"/>
    </row>
    <row r="8" spans="1:3">
      <c r="A8" s="13" t="s">
        <v>43</v>
      </c>
      <c r="B8" s="272">
        <v>9.6</v>
      </c>
      <c r="C8" s="273">
        <v>0</v>
      </c>
    </row>
    <row r="9" spans="1:3">
      <c r="A9" s="13" t="s">
        <v>47</v>
      </c>
      <c r="B9" s="272">
        <v>9.5</v>
      </c>
      <c r="C9" s="273"/>
    </row>
    <row r="10" spans="1:3">
      <c r="A10" s="13" t="s">
        <v>33</v>
      </c>
      <c r="B10" s="272">
        <v>8.4</v>
      </c>
      <c r="C10" s="273">
        <v>1.5</v>
      </c>
    </row>
    <row r="11" spans="1:3">
      <c r="A11" s="13" t="s">
        <v>51</v>
      </c>
      <c r="B11" s="272">
        <v>6.8</v>
      </c>
      <c r="C11" s="273">
        <v>0.5</v>
      </c>
    </row>
    <row r="12" spans="1:3">
      <c r="A12" s="13" t="s">
        <v>32</v>
      </c>
      <c r="B12" s="272">
        <v>5.8</v>
      </c>
      <c r="C12" s="273">
        <v>0.1</v>
      </c>
    </row>
    <row r="13" spans="1:3">
      <c r="A13" s="13" t="s">
        <v>31</v>
      </c>
      <c r="B13" s="272">
        <v>5.2</v>
      </c>
      <c r="C13" s="273">
        <v>0</v>
      </c>
    </row>
    <row r="14" spans="1:3">
      <c r="A14" s="13" t="s">
        <v>34</v>
      </c>
      <c r="B14" s="272">
        <v>4.8</v>
      </c>
      <c r="C14" s="273">
        <v>19.100000000000001</v>
      </c>
    </row>
    <row r="15" spans="1:3">
      <c r="A15" s="13" t="s">
        <v>35</v>
      </c>
      <c r="B15" s="272">
        <v>4.7</v>
      </c>
      <c r="C15" s="273">
        <v>1.4</v>
      </c>
    </row>
    <row r="16" spans="1:3">
      <c r="A16" s="13" t="s">
        <v>40</v>
      </c>
      <c r="B16" s="272">
        <v>3.7</v>
      </c>
      <c r="C16" s="273">
        <v>18.600000000000001</v>
      </c>
    </row>
    <row r="17" spans="1:3">
      <c r="A17" s="13" t="s">
        <v>46</v>
      </c>
      <c r="B17" s="272">
        <v>1.5</v>
      </c>
      <c r="C17" s="273">
        <v>0</v>
      </c>
    </row>
    <row r="18" spans="1:3">
      <c r="A18" s="13" t="s">
        <v>52</v>
      </c>
      <c r="B18" s="272">
        <v>1.3</v>
      </c>
      <c r="C18" s="273">
        <v>19.8</v>
      </c>
    </row>
    <row r="19" spans="1:3">
      <c r="A19" s="13" t="s">
        <v>36</v>
      </c>
      <c r="B19" s="272">
        <v>0.2</v>
      </c>
      <c r="C19" s="273">
        <v>5.4</v>
      </c>
    </row>
    <row r="20" spans="1:3">
      <c r="A20" s="15" t="s">
        <v>67</v>
      </c>
      <c r="B20" s="273">
        <v>8.5470000000000006</v>
      </c>
      <c r="C20" s="273">
        <v>10.199999999999999</v>
      </c>
    </row>
    <row r="21" spans="1:3">
      <c r="A21" s="15" t="s">
        <v>110</v>
      </c>
      <c r="B21" s="273">
        <v>36.4</v>
      </c>
      <c r="C21" s="273">
        <v>9</v>
      </c>
    </row>
    <row r="23" spans="1:3">
      <c r="A23" s="351" t="s">
        <v>605</v>
      </c>
      <c r="B23" s="355" t="s">
        <v>614</v>
      </c>
    </row>
  </sheetData>
  <sortState xmlns:xlrd2="http://schemas.microsoft.com/office/spreadsheetml/2017/richdata2" ref="A2:B19">
    <sortCondition descending="1" ref="B2:B19"/>
  </sortState>
  <hyperlinks>
    <hyperlink ref="B23" r:id="rId1" display="https://unstats.un.org/sdgs/dataportal" xr:uid="{0A3B6B76-2970-4C33-97E1-729218B116CD}"/>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54B1-939C-4E9D-93C7-57BA5BB61AD9}">
  <sheetPr>
    <tabColor theme="0" tint="-0.499984740745262"/>
  </sheetPr>
  <dimension ref="A1:AN6"/>
  <sheetViews>
    <sheetView zoomScale="70" zoomScaleNormal="70" workbookViewId="0">
      <selection activeCell="B5" sqref="B5"/>
    </sheetView>
  </sheetViews>
  <sheetFormatPr defaultRowHeight="14.5"/>
  <cols>
    <col min="1" max="1" width="13.1796875" style="240" customWidth="1"/>
    <col min="2" max="2" width="18.453125" style="240" customWidth="1"/>
    <col min="3" max="6" width="15.1796875" style="240" customWidth="1"/>
    <col min="7" max="40" width="8.81640625" style="240"/>
  </cols>
  <sheetData>
    <row r="1" spans="1:6" ht="60" customHeight="1">
      <c r="A1" s="28" t="s">
        <v>462</v>
      </c>
      <c r="B1" s="28" t="s">
        <v>454</v>
      </c>
      <c r="C1" s="28" t="s">
        <v>456</v>
      </c>
      <c r="D1" s="28" t="s">
        <v>455</v>
      </c>
      <c r="E1" s="28" t="s">
        <v>457</v>
      </c>
      <c r="F1" s="28" t="s">
        <v>505</v>
      </c>
    </row>
    <row r="2" spans="1:6">
      <c r="A2" s="13" t="s">
        <v>67</v>
      </c>
      <c r="B2" s="276">
        <v>31.108830000000001</v>
      </c>
      <c r="C2" s="277">
        <v>28.0032</v>
      </c>
      <c r="D2" s="278">
        <v>19.54</v>
      </c>
      <c r="E2" s="279">
        <v>20.9</v>
      </c>
      <c r="F2" s="279">
        <v>40.299999999999997</v>
      </c>
    </row>
    <row r="3" spans="1:6">
      <c r="A3" s="13" t="s">
        <v>110</v>
      </c>
      <c r="B3" s="277">
        <v>15.9</v>
      </c>
      <c r="C3" s="277">
        <v>45.1</v>
      </c>
      <c r="D3" s="277">
        <v>5.3</v>
      </c>
      <c r="E3" s="279">
        <v>24.8</v>
      </c>
      <c r="F3" s="279">
        <v>26.7</v>
      </c>
    </row>
    <row r="4" spans="1:6" s="240" customFormat="1">
      <c r="A4" s="280"/>
      <c r="B4" s="281"/>
      <c r="C4" s="281"/>
      <c r="D4" s="281"/>
      <c r="E4" s="282"/>
      <c r="F4" s="282"/>
    </row>
    <row r="5" spans="1:6" ht="79.5" customHeight="1">
      <c r="A5" s="379" t="s">
        <v>54</v>
      </c>
      <c r="B5" s="365" t="s">
        <v>642</v>
      </c>
      <c r="C5" s="365" t="s">
        <v>615</v>
      </c>
      <c r="D5" s="365" t="s">
        <v>615</v>
      </c>
      <c r="E5" s="363" t="s">
        <v>636</v>
      </c>
      <c r="F5" s="365" t="s">
        <v>637</v>
      </c>
    </row>
    <row r="6" spans="1:6">
      <c r="A6" s="379" t="s">
        <v>453</v>
      </c>
      <c r="B6" s="283">
        <v>2023</v>
      </c>
      <c r="C6" s="283">
        <v>2022</v>
      </c>
      <c r="D6" s="284">
        <v>2023</v>
      </c>
      <c r="E6" s="284">
        <v>2022</v>
      </c>
      <c r="F6" s="283">
        <v>2023</v>
      </c>
    </row>
  </sheetData>
  <hyperlinks>
    <hyperlink ref="C5" r:id="rId1" display="https://ilostat.ilo.org/data/" xr:uid="{54521B98-DA0A-48F7-99BC-9089C6E3BB7F}"/>
    <hyperlink ref="D5" r:id="rId2" display="https://ilostat.ilo.org/data/" xr:uid="{2B38F3AB-D335-4780-88E1-31068A1689FB}"/>
    <hyperlink ref="E5" r:id="rId3" display="https://data.unhabitat.org/pages/datasets" xr:uid="{7486534D-7ABB-44F6-B647-ECF73CCBA8FE}"/>
    <hyperlink ref="F5" r:id="rId4" location="data" display="https://www.fao.org/faostat/en/ - data" xr:uid="{97348FEE-1C97-45C8-830D-E1A9AAB8F1FB}"/>
    <hyperlink ref="B5" r:id="rId5" display="https://data.uis.unesco.org/" xr:uid="{8568EE1C-79B2-42B8-85CE-DA186F5B6860}"/>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09E3-D0CC-4D4A-82B0-ECA816FFB57F}">
  <sheetPr codeName="Sheet2">
    <tabColor theme="4" tint="0.39997558519241921"/>
  </sheetPr>
  <dimension ref="A1:P25"/>
  <sheetViews>
    <sheetView showGridLines="0" zoomScale="70" zoomScaleNormal="70" workbookViewId="0">
      <pane xSplit="1" ySplit="3" topLeftCell="B4" activePane="bottomRight" state="frozen"/>
      <selection pane="topRight" sqref="A1:I1"/>
      <selection pane="bottomLeft" sqref="A1:I1"/>
      <selection pane="bottomRight" activeCell="Y8" sqref="Y8"/>
    </sheetView>
  </sheetViews>
  <sheetFormatPr defaultRowHeight="14.5"/>
  <cols>
    <col min="1" max="1" width="22.453125" customWidth="1"/>
    <col min="2" max="7" width="13.1796875" customWidth="1"/>
  </cols>
  <sheetData>
    <row r="1" spans="1:16" ht="16">
      <c r="A1" s="434" t="s">
        <v>1</v>
      </c>
      <c r="B1" s="434"/>
      <c r="C1" s="434"/>
      <c r="D1" s="434"/>
      <c r="E1" s="434"/>
      <c r="F1" s="434"/>
      <c r="G1" s="434"/>
    </row>
    <row r="2" spans="1:16" ht="16">
      <c r="A2" s="1"/>
      <c r="B2" s="435" t="s">
        <v>2</v>
      </c>
      <c r="C2" s="436"/>
      <c r="D2" s="437"/>
      <c r="E2" s="435" t="s">
        <v>3</v>
      </c>
      <c r="F2" s="436"/>
      <c r="G2" s="437"/>
      <c r="J2" s="2"/>
      <c r="K2" s="3"/>
      <c r="L2" s="4"/>
      <c r="M2" s="4"/>
      <c r="N2" s="5"/>
      <c r="O2" s="4"/>
      <c r="P2" s="4"/>
    </row>
    <row r="3" spans="1:16" ht="43.5" customHeight="1">
      <c r="A3" s="6" t="s">
        <v>4</v>
      </c>
      <c r="B3" s="7" t="s">
        <v>5</v>
      </c>
      <c r="C3" s="7" t="s">
        <v>6</v>
      </c>
      <c r="D3" s="7" t="s">
        <v>7</v>
      </c>
      <c r="E3" s="7" t="s">
        <v>5</v>
      </c>
      <c r="F3" s="7" t="s">
        <v>6</v>
      </c>
      <c r="G3" s="7" t="s">
        <v>7</v>
      </c>
    </row>
    <row r="4" spans="1:16">
      <c r="A4" s="8" t="s">
        <v>8</v>
      </c>
      <c r="B4" s="9">
        <v>13.817399999999999</v>
      </c>
      <c r="C4" s="9">
        <v>2.8446099999999999</v>
      </c>
      <c r="D4" s="9">
        <v>9.8923699999999997</v>
      </c>
      <c r="E4" s="9">
        <v>6.6052999999999997</v>
      </c>
      <c r="F4" s="9">
        <v>4.1214500000000003</v>
      </c>
      <c r="G4" s="9">
        <v>27.77027</v>
      </c>
    </row>
    <row r="5" spans="1:16">
      <c r="A5" s="8" t="s">
        <v>9</v>
      </c>
      <c r="B5" s="9">
        <v>2.8734600000000001</v>
      </c>
      <c r="C5" s="9">
        <v>3.3754499999999998</v>
      </c>
      <c r="D5" s="9">
        <v>6.8893899999999997</v>
      </c>
      <c r="E5" s="9">
        <v>1.1030500000000001</v>
      </c>
      <c r="F5" s="9">
        <v>8.2728599999999997</v>
      </c>
      <c r="G5" s="9">
        <v>16.748909999999999</v>
      </c>
    </row>
    <row r="6" spans="1:16">
      <c r="A6" s="8" t="s">
        <v>10</v>
      </c>
      <c r="B6" s="9">
        <v>4.6810600000000004</v>
      </c>
      <c r="C6" s="9">
        <v>3.7726500000000001</v>
      </c>
      <c r="D6" s="9">
        <v>4.7680199999999999</v>
      </c>
      <c r="E6" s="9">
        <v>3.9441999999999999</v>
      </c>
      <c r="F6" s="9">
        <v>8.6919400000000007</v>
      </c>
      <c r="G6" s="9">
        <v>12.311159999999999</v>
      </c>
    </row>
    <row r="7" spans="1:16">
      <c r="A7" s="8" t="s">
        <v>11</v>
      </c>
      <c r="B7" s="9">
        <v>4.7876300000000001</v>
      </c>
      <c r="C7" s="9">
        <v>5.6667699999999996</v>
      </c>
      <c r="D7" s="9">
        <v>6.6721300000000001</v>
      </c>
      <c r="E7" s="9">
        <v>3.4267400000000001</v>
      </c>
      <c r="F7" s="9">
        <v>12.22147</v>
      </c>
      <c r="G7" s="9">
        <v>16.752189999999999</v>
      </c>
    </row>
    <row r="8" spans="1:16">
      <c r="A8" s="8" t="s">
        <v>12</v>
      </c>
      <c r="B8" s="9">
        <v>10.915179999999999</v>
      </c>
      <c r="C8" s="9">
        <v>1.1197699999999999</v>
      </c>
      <c r="D8" s="9">
        <v>5.9913100000000004</v>
      </c>
      <c r="E8" s="9">
        <v>6.6858199999999997</v>
      </c>
      <c r="F8" s="9">
        <v>3.24919</v>
      </c>
      <c r="G8" s="9">
        <v>20.676690000000001</v>
      </c>
    </row>
    <row r="9" spans="1:16">
      <c r="A9" s="8" t="s">
        <v>13</v>
      </c>
      <c r="B9" s="9">
        <v>29.39959</v>
      </c>
      <c r="C9" s="9">
        <v>6.5217400000000003</v>
      </c>
      <c r="D9" s="9">
        <v>0.82816000000000001</v>
      </c>
      <c r="E9" s="9">
        <v>26.31579</v>
      </c>
      <c r="F9" s="9">
        <v>0</v>
      </c>
      <c r="G9" s="9">
        <v>2.7255600000000002</v>
      </c>
    </row>
    <row r="10" spans="1:16">
      <c r="A10" s="8" t="s">
        <v>14</v>
      </c>
      <c r="B10" s="9">
        <v>7.7864800000000001</v>
      </c>
      <c r="C10" s="9">
        <v>4.4287400000000003</v>
      </c>
      <c r="D10" s="9">
        <v>7.0815000000000001</v>
      </c>
      <c r="E10" s="9">
        <v>6.8998699999999999</v>
      </c>
      <c r="F10" s="9">
        <v>9.1182700000000008</v>
      </c>
      <c r="G10" s="9">
        <v>15.170579999999999</v>
      </c>
    </row>
    <row r="11" spans="1:16">
      <c r="A11" s="8" t="s">
        <v>15</v>
      </c>
      <c r="B11" s="9">
        <v>5.3062199999999997</v>
      </c>
      <c r="C11" s="9">
        <v>11.13584</v>
      </c>
      <c r="D11" s="9">
        <v>13.44604</v>
      </c>
      <c r="E11" s="9">
        <v>1.9652799999999999</v>
      </c>
      <c r="F11" s="9">
        <v>6.2849199999999996</v>
      </c>
      <c r="G11" s="9">
        <v>30.746210000000001</v>
      </c>
    </row>
    <row r="12" spans="1:16">
      <c r="A12" s="8" t="s">
        <v>16</v>
      </c>
      <c r="B12" s="9">
        <v>4.0724299999999998</v>
      </c>
      <c r="C12" s="9">
        <v>4.4583899999999996</v>
      </c>
      <c r="D12" s="9">
        <v>5.4359200000000003</v>
      </c>
      <c r="E12" s="9">
        <v>1.68536</v>
      </c>
      <c r="F12" s="9">
        <v>8.5741700000000005</v>
      </c>
      <c r="G12" s="9">
        <v>15.97565</v>
      </c>
    </row>
    <row r="13" spans="1:16">
      <c r="A13" s="8" t="s">
        <v>17</v>
      </c>
      <c r="B13" s="9">
        <v>3.3204600000000002</v>
      </c>
      <c r="C13" s="9">
        <v>2.81853</v>
      </c>
      <c r="D13" s="9">
        <v>9.0540500000000002</v>
      </c>
      <c r="E13" s="9">
        <v>1.7982499999999999</v>
      </c>
      <c r="F13" s="9">
        <v>6.7543899999999999</v>
      </c>
      <c r="G13" s="9">
        <v>22.763159999999999</v>
      </c>
    </row>
    <row r="14" spans="1:16">
      <c r="A14" s="8" t="s">
        <v>18</v>
      </c>
      <c r="B14" s="9">
        <v>10.577019999999999</v>
      </c>
      <c r="C14" s="9">
        <v>7.8758499999999998</v>
      </c>
      <c r="D14" s="9">
        <v>2.4441700000000002</v>
      </c>
      <c r="E14" s="9">
        <v>4.3537400000000002</v>
      </c>
      <c r="F14" s="9">
        <v>12.10525</v>
      </c>
      <c r="G14" s="9">
        <v>19.43205</v>
      </c>
    </row>
    <row r="15" spans="1:16">
      <c r="A15" s="8" t="s">
        <v>19</v>
      </c>
      <c r="B15" s="9">
        <v>17.61159</v>
      </c>
      <c r="C15" s="9"/>
      <c r="D15" s="9">
        <v>10.218719999999999</v>
      </c>
      <c r="E15" s="9">
        <v>18.188389999999998</v>
      </c>
      <c r="F15" s="9">
        <v>4.3644999999999996</v>
      </c>
      <c r="G15" s="9">
        <v>11.18587</v>
      </c>
    </row>
    <row r="16" spans="1:16">
      <c r="A16" s="8" t="s">
        <v>20</v>
      </c>
      <c r="B16" s="9">
        <v>9.4770800000000008</v>
      </c>
      <c r="C16" s="9">
        <v>3.7744300000000002</v>
      </c>
      <c r="D16" s="9">
        <v>16.258890000000001</v>
      </c>
      <c r="E16" s="9">
        <v>6.1572100000000001</v>
      </c>
      <c r="F16" s="9">
        <v>4.7572299999999998</v>
      </c>
      <c r="G16" s="9">
        <v>26.612870000000001</v>
      </c>
    </row>
    <row r="17" spans="1:7">
      <c r="A17" s="8" t="s">
        <v>21</v>
      </c>
      <c r="B17" s="9">
        <v>8.0138099999999994</v>
      </c>
      <c r="C17" s="9">
        <v>11.36598</v>
      </c>
      <c r="D17" s="9">
        <v>11.27181</v>
      </c>
      <c r="E17" s="9">
        <v>3.25258</v>
      </c>
      <c r="F17" s="9">
        <v>21.826619999999998</v>
      </c>
      <c r="G17" s="9">
        <v>27.32789</v>
      </c>
    </row>
    <row r="18" spans="1:7" ht="26">
      <c r="A18" s="8" t="s">
        <v>22</v>
      </c>
      <c r="B18" s="9">
        <v>2.8866399999999999</v>
      </c>
      <c r="C18" s="9">
        <v>5.9797599999999997</v>
      </c>
      <c r="D18" s="9">
        <v>21.388660000000002</v>
      </c>
      <c r="E18" s="9">
        <v>2.08182</v>
      </c>
      <c r="F18" s="9">
        <v>6.2925399999999998</v>
      </c>
      <c r="G18" s="9">
        <v>27.35699</v>
      </c>
    </row>
    <row r="19" spans="1:7">
      <c r="A19" s="10" t="s">
        <v>23</v>
      </c>
      <c r="B19" s="11">
        <v>5.502275</v>
      </c>
      <c r="C19" s="11">
        <v>3.1377225000000006</v>
      </c>
      <c r="D19" s="11">
        <v>7.9497424999999993</v>
      </c>
      <c r="E19" s="11"/>
      <c r="F19" s="11"/>
      <c r="G19" s="11"/>
    </row>
    <row r="20" spans="1:7">
      <c r="A20" s="10" t="s">
        <v>24</v>
      </c>
      <c r="B20" s="11">
        <f>SUM(B4:B18)/COUNT(B4:B18)</f>
        <v>9.0350699999999993</v>
      </c>
      <c r="C20" s="11">
        <f>SUM(C4:C18)/COUNT(C4:C18)</f>
        <v>5.3670364285714296</v>
      </c>
      <c r="D20" s="11">
        <f>SUM(D4:D18)/COUNT(D4:D18)</f>
        <v>8.7760759999999998</v>
      </c>
      <c r="E20" s="11">
        <v>6.2975599999999998</v>
      </c>
      <c r="F20" s="11">
        <v>8.3310571428571425</v>
      </c>
      <c r="G20" s="11">
        <v>19.570403333333335</v>
      </c>
    </row>
    <row r="23" spans="1:7">
      <c r="A23" s="350" t="s">
        <v>25</v>
      </c>
      <c r="B23" s="172" t="s">
        <v>604</v>
      </c>
      <c r="C23" s="4"/>
      <c r="D23" s="5"/>
      <c r="F23" s="4"/>
      <c r="G23" s="4"/>
    </row>
    <row r="25" spans="1:7">
      <c r="A25" t="s">
        <v>26</v>
      </c>
      <c r="B25" t="s">
        <v>27</v>
      </c>
    </row>
  </sheetData>
  <mergeCells count="3">
    <mergeCell ref="A1:G1"/>
    <mergeCell ref="B2:D2"/>
    <mergeCell ref="E2:G2"/>
  </mergeCells>
  <hyperlinks>
    <hyperlink ref="B23" r:id="rId1" display="https://data.uis.unesco.org/" xr:uid="{67535E64-E9CE-4561-82F9-DD44F3804332}"/>
  </hyperlinks>
  <pageMargins left="0.7" right="0.7" top="0.75" bottom="0.75" header="0.3" footer="0.3"/>
  <ignoredErrors>
    <ignoredError sqref="B20:G20" formulaRange="1"/>
  </ignoredError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EDFA1-58EC-4CDE-BAE1-91E9AC7A46FC}">
  <sheetPr codeName="Sheet14">
    <tabColor theme="6" tint="0.39997558519241921"/>
  </sheetPr>
  <dimension ref="A1:I32"/>
  <sheetViews>
    <sheetView showGridLines="0" zoomScale="70" zoomScaleNormal="70" workbookViewId="0">
      <pane xSplit="1" ySplit="2" topLeftCell="B3" activePane="bottomRight" state="frozen"/>
      <selection pane="topRight"/>
      <selection pane="bottomLeft"/>
      <selection pane="bottomRight"/>
    </sheetView>
  </sheetViews>
  <sheetFormatPr defaultRowHeight="14.5"/>
  <cols>
    <col min="1" max="1" width="15.54296875" bestFit="1" customWidth="1"/>
    <col min="2" max="2" width="11.453125" bestFit="1" customWidth="1"/>
    <col min="3" max="3" width="17.81640625" customWidth="1"/>
    <col min="4" max="4" width="19.453125" bestFit="1" customWidth="1"/>
    <col min="6" max="6" width="11" bestFit="1" customWidth="1"/>
  </cols>
  <sheetData>
    <row r="1" spans="1:9" ht="30.65" customHeight="1">
      <c r="A1" s="62" t="s">
        <v>141</v>
      </c>
      <c r="B1" s="63"/>
      <c r="C1" s="460" t="s">
        <v>142</v>
      </c>
      <c r="D1" s="460"/>
    </row>
    <row r="2" spans="1:9">
      <c r="A2" s="64" t="s">
        <v>113</v>
      </c>
      <c r="B2" s="64" t="s">
        <v>104</v>
      </c>
      <c r="C2" s="65" t="s">
        <v>112</v>
      </c>
      <c r="D2" s="65" t="s">
        <v>143</v>
      </c>
    </row>
    <row r="3" spans="1:9">
      <c r="A3" s="66" t="s">
        <v>67</v>
      </c>
      <c r="B3" s="66">
        <v>2000</v>
      </c>
      <c r="C3" s="67">
        <v>12.3</v>
      </c>
      <c r="D3" s="67">
        <v>35.4</v>
      </c>
    </row>
    <row r="4" spans="1:9">
      <c r="A4" s="66" t="s">
        <v>67</v>
      </c>
      <c r="B4" s="66">
        <v>2005</v>
      </c>
      <c r="C4" s="67">
        <v>11.6</v>
      </c>
      <c r="D4" s="67">
        <v>37.1</v>
      </c>
    </row>
    <row r="5" spans="1:9">
      <c r="A5" s="66" t="s">
        <v>67</v>
      </c>
      <c r="B5" s="66">
        <v>2010</v>
      </c>
      <c r="C5" s="67">
        <v>10</v>
      </c>
      <c r="D5" s="67">
        <v>36.299999999999997</v>
      </c>
    </row>
    <row r="6" spans="1:9">
      <c r="A6" s="66" t="s">
        <v>67</v>
      </c>
      <c r="B6" s="66">
        <v>2015</v>
      </c>
      <c r="C6" s="67">
        <v>10.9</v>
      </c>
      <c r="D6" s="67">
        <v>44.4</v>
      </c>
    </row>
    <row r="7" spans="1:9">
      <c r="A7" s="66" t="s">
        <v>67</v>
      </c>
      <c r="B7" s="66">
        <v>2020</v>
      </c>
      <c r="C7" s="67">
        <v>12.1</v>
      </c>
      <c r="D7" s="67">
        <v>54.2</v>
      </c>
    </row>
    <row r="8" spans="1:9">
      <c r="A8" s="258" t="s">
        <v>67</v>
      </c>
      <c r="B8" s="258">
        <v>2023</v>
      </c>
      <c r="C8" s="259">
        <v>14</v>
      </c>
      <c r="D8" s="259">
        <v>66.099999999999994</v>
      </c>
      <c r="G8" t="s">
        <v>110</v>
      </c>
      <c r="I8">
        <v>9</v>
      </c>
    </row>
    <row r="9" spans="1:9">
      <c r="A9" s="66" t="s">
        <v>144</v>
      </c>
      <c r="B9" s="66">
        <v>2000</v>
      </c>
      <c r="C9" s="67">
        <v>5.3</v>
      </c>
      <c r="D9" s="67">
        <v>1.6</v>
      </c>
    </row>
    <row r="10" spans="1:9">
      <c r="A10" s="66" t="s">
        <v>144</v>
      </c>
      <c r="B10" s="66">
        <v>2005</v>
      </c>
      <c r="C10" s="67">
        <v>5.2</v>
      </c>
      <c r="D10" s="67">
        <v>1.8</v>
      </c>
    </row>
    <row r="11" spans="1:9">
      <c r="A11" s="66" t="s">
        <v>144</v>
      </c>
      <c r="B11" s="66">
        <v>2010</v>
      </c>
      <c r="C11" s="67">
        <v>7.6</v>
      </c>
      <c r="D11" s="67">
        <v>3.5</v>
      </c>
    </row>
    <row r="12" spans="1:9">
      <c r="A12" s="66" t="s">
        <v>144</v>
      </c>
      <c r="B12" s="66">
        <v>2015</v>
      </c>
      <c r="C12" s="67">
        <v>4.2</v>
      </c>
      <c r="D12" s="67">
        <v>2.2999999999999998</v>
      </c>
    </row>
    <row r="13" spans="1:9">
      <c r="A13" s="66" t="s">
        <v>144</v>
      </c>
      <c r="B13" s="66">
        <v>2020</v>
      </c>
      <c r="C13" s="67">
        <v>3.9</v>
      </c>
      <c r="D13" s="67">
        <v>2.2999999999999998</v>
      </c>
    </row>
    <row r="14" spans="1:9">
      <c r="A14" s="66" t="s">
        <v>144</v>
      </c>
      <c r="B14" s="66">
        <v>2023</v>
      </c>
      <c r="C14" s="67">
        <v>2.5</v>
      </c>
      <c r="D14" s="67">
        <v>1.5</v>
      </c>
    </row>
    <row r="15" spans="1:9">
      <c r="A15" s="66" t="s">
        <v>119</v>
      </c>
      <c r="B15" s="66">
        <v>2000</v>
      </c>
      <c r="C15" s="67">
        <v>6.5</v>
      </c>
      <c r="D15" s="67">
        <v>4.9000000000000004</v>
      </c>
    </row>
    <row r="16" spans="1:9">
      <c r="A16" s="66" t="s">
        <v>119</v>
      </c>
      <c r="B16" s="66">
        <v>2005</v>
      </c>
      <c r="C16" s="67">
        <v>5.5</v>
      </c>
      <c r="D16" s="67">
        <v>4.4000000000000004</v>
      </c>
    </row>
    <row r="17" spans="1:4">
      <c r="A17" s="66" t="s">
        <v>119</v>
      </c>
      <c r="B17" s="66">
        <v>2010</v>
      </c>
      <c r="C17" s="67">
        <v>4.7</v>
      </c>
      <c r="D17" s="67">
        <v>4</v>
      </c>
    </row>
    <row r="18" spans="1:4">
      <c r="A18" s="66" t="s">
        <v>119</v>
      </c>
      <c r="B18" s="66">
        <v>2015</v>
      </c>
      <c r="C18" s="67">
        <v>3.5</v>
      </c>
      <c r="D18" s="67">
        <v>3.2</v>
      </c>
    </row>
    <row r="19" spans="1:4">
      <c r="A19" s="66" t="s">
        <v>119</v>
      </c>
      <c r="B19" s="66">
        <v>2020</v>
      </c>
      <c r="C19" s="67">
        <v>3.9</v>
      </c>
      <c r="D19" s="67">
        <v>3.8</v>
      </c>
    </row>
    <row r="20" spans="1:4">
      <c r="A20" s="66" t="s">
        <v>119</v>
      </c>
      <c r="B20" s="66">
        <v>2023</v>
      </c>
      <c r="C20" s="67">
        <v>4.3</v>
      </c>
      <c r="D20" s="67">
        <v>4.4000000000000004</v>
      </c>
    </row>
    <row r="21" spans="1:4">
      <c r="A21" s="66" t="s">
        <v>120</v>
      </c>
      <c r="B21" s="66">
        <v>2000</v>
      </c>
      <c r="C21" s="67">
        <v>9.3000000000000007</v>
      </c>
      <c r="D21" s="67">
        <v>11.6</v>
      </c>
    </row>
    <row r="22" spans="1:4">
      <c r="A22" s="66" t="s">
        <v>120</v>
      </c>
      <c r="B22" s="66">
        <v>2005</v>
      </c>
      <c r="C22" s="67">
        <v>8.3000000000000007</v>
      </c>
      <c r="D22" s="67">
        <v>11.7</v>
      </c>
    </row>
    <row r="23" spans="1:4">
      <c r="A23" s="66" t="s">
        <v>120</v>
      </c>
      <c r="B23" s="66">
        <v>2010</v>
      </c>
      <c r="C23" s="67">
        <v>6.7</v>
      </c>
      <c r="D23" s="67">
        <v>10.5</v>
      </c>
    </row>
    <row r="24" spans="1:4">
      <c r="A24" s="66" t="s">
        <v>120</v>
      </c>
      <c r="B24" s="66">
        <v>2015</v>
      </c>
      <c r="C24" s="67">
        <v>8.9</v>
      </c>
      <c r="D24" s="67">
        <v>15.6</v>
      </c>
    </row>
    <row r="25" spans="1:4">
      <c r="A25" s="66" t="s">
        <v>120</v>
      </c>
      <c r="B25" s="66">
        <v>2020</v>
      </c>
      <c r="C25" s="67">
        <v>11.9</v>
      </c>
      <c r="D25" s="67">
        <v>22.9</v>
      </c>
    </row>
    <row r="26" spans="1:4">
      <c r="A26" s="66" t="s">
        <v>120</v>
      </c>
      <c r="B26" s="66">
        <v>2023</v>
      </c>
      <c r="C26" s="67">
        <v>14.4</v>
      </c>
      <c r="D26" s="67">
        <v>29.2</v>
      </c>
    </row>
    <row r="27" spans="1:4">
      <c r="A27" s="66" t="s">
        <v>121</v>
      </c>
      <c r="B27" s="66">
        <v>2000</v>
      </c>
      <c r="C27" s="67">
        <v>30</v>
      </c>
      <c r="D27" s="67">
        <v>17.3</v>
      </c>
    </row>
    <row r="28" spans="1:4">
      <c r="A28" s="66" t="s">
        <v>121</v>
      </c>
      <c r="B28" s="66">
        <v>2005</v>
      </c>
      <c r="C28" s="67">
        <v>29.1</v>
      </c>
      <c r="D28" s="67">
        <v>19.100000000000001</v>
      </c>
    </row>
    <row r="29" spans="1:4">
      <c r="A29" s="66" t="s">
        <v>121</v>
      </c>
      <c r="B29" s="66">
        <v>2010</v>
      </c>
      <c r="C29" s="67">
        <v>24.3</v>
      </c>
      <c r="D29" s="67">
        <v>18.3</v>
      </c>
    </row>
    <row r="30" spans="1:4">
      <c r="A30" s="66" t="s">
        <v>121</v>
      </c>
      <c r="B30" s="66">
        <v>2015</v>
      </c>
      <c r="C30" s="67">
        <v>27.1</v>
      </c>
      <c r="D30" s="67">
        <v>23.3</v>
      </c>
    </row>
    <row r="31" spans="1:4">
      <c r="A31" s="66" t="s">
        <v>121</v>
      </c>
      <c r="B31" s="66">
        <v>2020</v>
      </c>
      <c r="C31" s="67">
        <v>25.3</v>
      </c>
      <c r="D31" s="67">
        <v>25.3</v>
      </c>
    </row>
    <row r="32" spans="1:4">
      <c r="A32" s="66" t="s">
        <v>121</v>
      </c>
      <c r="B32" s="66">
        <v>2023</v>
      </c>
      <c r="C32" s="67">
        <v>28.8</v>
      </c>
      <c r="D32" s="67">
        <v>31</v>
      </c>
    </row>
  </sheetData>
  <mergeCells count="1">
    <mergeCell ref="C1:D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D7E2E-2F66-4110-876F-C3A2D2DFE275}">
  <sheetPr codeName="Sheet15">
    <tabColor theme="6" tint="0.39997558519241921"/>
  </sheetPr>
  <dimension ref="A1:P104"/>
  <sheetViews>
    <sheetView showGridLines="0" zoomScale="70" zoomScaleNormal="70" workbookViewId="0">
      <pane xSplit="1" ySplit="4" topLeftCell="B5" activePane="bottomRight" state="frozen"/>
      <selection pane="topRight"/>
      <selection pane="bottomLeft"/>
      <selection pane="bottomRight" activeCell="F9" sqref="F9"/>
    </sheetView>
  </sheetViews>
  <sheetFormatPr defaultColWidth="8.81640625" defaultRowHeight="14.5"/>
  <cols>
    <col min="1" max="1" width="14.453125" style="63" bestFit="1" customWidth="1"/>
    <col min="2" max="2" width="11" style="68" bestFit="1" customWidth="1"/>
    <col min="3" max="3" width="8.81640625" style="63"/>
    <col min="4" max="15" width="13.54296875" style="63" customWidth="1"/>
    <col min="16" max="16" width="12.453125" style="63" bestFit="1" customWidth="1"/>
    <col min="17" max="17" width="10" style="63" bestFit="1" customWidth="1"/>
    <col min="18" max="16384" width="8.81640625" style="63"/>
  </cols>
  <sheetData>
    <row r="1" spans="1:16" ht="16">
      <c r="D1" s="461" t="s">
        <v>145</v>
      </c>
      <c r="E1" s="461"/>
      <c r="F1" s="461"/>
      <c r="G1" s="461"/>
      <c r="H1" s="461"/>
      <c r="I1" s="461"/>
      <c r="J1" s="461"/>
      <c r="K1" s="461"/>
      <c r="L1" s="461"/>
      <c r="M1" s="461"/>
      <c r="N1" s="461"/>
      <c r="O1" s="461"/>
    </row>
    <row r="2" spans="1:16">
      <c r="A2" s="63" t="s">
        <v>146</v>
      </c>
      <c r="D2" s="462" t="s">
        <v>147</v>
      </c>
      <c r="E2" s="462"/>
      <c r="F2" s="462"/>
      <c r="G2" s="462"/>
      <c r="H2" s="462"/>
      <c r="I2" s="462"/>
      <c r="J2" s="462" t="s">
        <v>148</v>
      </c>
      <c r="K2" s="462"/>
      <c r="L2" s="462"/>
      <c r="M2" s="462"/>
      <c r="N2" s="462"/>
      <c r="O2" s="462"/>
    </row>
    <row r="3" spans="1:16">
      <c r="D3" s="462" t="s">
        <v>114</v>
      </c>
      <c r="E3" s="462"/>
      <c r="F3" s="462" t="s">
        <v>115</v>
      </c>
      <c r="G3" s="462"/>
      <c r="H3" s="462" t="s">
        <v>116</v>
      </c>
      <c r="I3" s="462"/>
      <c r="J3" s="462" t="s">
        <v>114</v>
      </c>
      <c r="K3" s="462"/>
      <c r="L3" s="462" t="s">
        <v>115</v>
      </c>
      <c r="M3" s="462"/>
      <c r="N3" s="462" t="s">
        <v>116</v>
      </c>
      <c r="O3" s="462"/>
    </row>
    <row r="4" spans="1:16">
      <c r="A4" s="64" t="s">
        <v>113</v>
      </c>
      <c r="B4" s="69" t="s">
        <v>104</v>
      </c>
      <c r="C4" s="64" t="s">
        <v>149</v>
      </c>
      <c r="D4" s="70" t="s">
        <v>102</v>
      </c>
      <c r="E4" s="70" t="s">
        <v>112</v>
      </c>
      <c r="F4" s="70" t="s">
        <v>102</v>
      </c>
      <c r="G4" s="70" t="s">
        <v>112</v>
      </c>
      <c r="H4" s="70" t="s">
        <v>102</v>
      </c>
      <c r="I4" s="70" t="s">
        <v>112</v>
      </c>
      <c r="J4" s="70" t="s">
        <v>102</v>
      </c>
      <c r="K4" s="70" t="s">
        <v>112</v>
      </c>
      <c r="L4" s="70" t="s">
        <v>102</v>
      </c>
      <c r="M4" s="70" t="s">
        <v>112</v>
      </c>
      <c r="N4" s="70" t="s">
        <v>102</v>
      </c>
      <c r="O4" s="70" t="s">
        <v>112</v>
      </c>
    </row>
    <row r="5" spans="1:16">
      <c r="A5" s="66" t="s">
        <v>67</v>
      </c>
      <c r="B5" s="71">
        <v>2015</v>
      </c>
      <c r="C5" s="66" t="s">
        <v>150</v>
      </c>
      <c r="D5" s="72"/>
      <c r="E5" s="73"/>
      <c r="F5" s="72">
        <v>41842300</v>
      </c>
      <c r="G5" s="73">
        <v>32.6</v>
      </c>
      <c r="H5" s="72">
        <v>40755600</v>
      </c>
      <c r="I5" s="73">
        <v>29</v>
      </c>
      <c r="J5" s="72"/>
      <c r="K5" s="73"/>
      <c r="L5" s="392">
        <v>14900300</v>
      </c>
      <c r="M5" s="73">
        <v>11.6</v>
      </c>
      <c r="N5" s="72">
        <v>14488700</v>
      </c>
      <c r="O5" s="73">
        <v>10.3</v>
      </c>
    </row>
    <row r="6" spans="1:16">
      <c r="A6" s="66" t="s">
        <v>67</v>
      </c>
      <c r="B6" s="71">
        <v>2020</v>
      </c>
      <c r="C6" s="66" t="s">
        <v>150</v>
      </c>
      <c r="D6" s="72"/>
      <c r="E6" s="73"/>
      <c r="F6" s="72">
        <v>52360500</v>
      </c>
      <c r="G6" s="73">
        <v>36.5</v>
      </c>
      <c r="H6" s="72">
        <v>52907700</v>
      </c>
      <c r="I6" s="73">
        <v>33.9</v>
      </c>
      <c r="J6" s="72"/>
      <c r="K6" s="73"/>
      <c r="L6" s="72">
        <v>19319800</v>
      </c>
      <c r="M6" s="73">
        <v>13.5</v>
      </c>
      <c r="N6" s="72">
        <v>18593800</v>
      </c>
      <c r="O6" s="73">
        <v>11.9</v>
      </c>
    </row>
    <row r="7" spans="1:16">
      <c r="A7" s="66" t="s">
        <v>67</v>
      </c>
      <c r="B7" s="71">
        <v>2021</v>
      </c>
      <c r="C7" s="66" t="s">
        <v>150</v>
      </c>
      <c r="D7" s="72"/>
      <c r="E7" s="73"/>
      <c r="F7" s="72">
        <v>58228200</v>
      </c>
      <c r="G7" s="73">
        <v>39.799999999999997</v>
      </c>
      <c r="H7" s="72">
        <v>58116500</v>
      </c>
      <c r="I7" s="73">
        <v>36.6</v>
      </c>
      <c r="J7" s="72"/>
      <c r="K7" s="73"/>
      <c r="L7" s="72">
        <v>21551900</v>
      </c>
      <c r="M7" s="73">
        <v>14.7</v>
      </c>
      <c r="N7" s="72">
        <v>21087500</v>
      </c>
      <c r="O7" s="73">
        <v>13.3</v>
      </c>
    </row>
    <row r="8" spans="1:16">
      <c r="A8" s="66" t="s">
        <v>67</v>
      </c>
      <c r="B8" s="71">
        <v>2022</v>
      </c>
      <c r="C8" s="66" t="s">
        <v>150</v>
      </c>
      <c r="D8" s="72"/>
      <c r="E8" s="73"/>
      <c r="F8" s="72">
        <v>59462600</v>
      </c>
      <c r="G8" s="73">
        <v>39.700000000000003</v>
      </c>
      <c r="H8" s="72">
        <v>55968000</v>
      </c>
      <c r="I8" s="73">
        <v>34.6</v>
      </c>
      <c r="J8" s="72"/>
      <c r="K8" s="73"/>
      <c r="L8" s="72">
        <v>24410500</v>
      </c>
      <c r="M8" s="73">
        <v>16.3</v>
      </c>
      <c r="N8" s="72">
        <v>21925300</v>
      </c>
      <c r="O8" s="73">
        <v>13.5</v>
      </c>
      <c r="P8" s="393">
        <f>24.2-14.9</f>
        <v>9.2999999999999989</v>
      </c>
    </row>
    <row r="9" spans="1:16">
      <c r="A9" s="66" t="s">
        <v>67</v>
      </c>
      <c r="B9" s="391">
        <v>2023</v>
      </c>
      <c r="C9" s="66" t="s">
        <v>150</v>
      </c>
      <c r="D9" s="72"/>
      <c r="E9" s="73"/>
      <c r="F9" s="392">
        <v>61815300</v>
      </c>
      <c r="G9" s="73">
        <v>40.299999999999997</v>
      </c>
      <c r="H9" s="72">
        <v>60024300</v>
      </c>
      <c r="I9" s="73">
        <v>36.299999999999997</v>
      </c>
      <c r="J9" s="72"/>
      <c r="K9" s="73"/>
      <c r="L9" s="392">
        <v>24215300</v>
      </c>
      <c r="M9" s="73">
        <v>15.8</v>
      </c>
      <c r="N9" s="72">
        <v>23482500</v>
      </c>
      <c r="O9" s="73">
        <v>14.2</v>
      </c>
    </row>
    <row r="10" spans="1:16">
      <c r="A10" s="66" t="s">
        <v>144</v>
      </c>
      <c r="B10" s="71">
        <v>2015</v>
      </c>
      <c r="C10" s="66" t="s">
        <v>150</v>
      </c>
      <c r="D10" s="72"/>
      <c r="E10" s="73"/>
      <c r="F10" s="72">
        <v>3118000</v>
      </c>
      <c r="G10" s="73">
        <v>21.4</v>
      </c>
      <c r="H10" s="72">
        <v>5260100</v>
      </c>
      <c r="I10" s="73">
        <v>20</v>
      </c>
      <c r="J10" s="72"/>
      <c r="K10" s="73"/>
      <c r="L10" s="72">
        <v>976000</v>
      </c>
      <c r="M10" s="73">
        <v>6.7</v>
      </c>
      <c r="N10" s="72">
        <v>1528700</v>
      </c>
      <c r="O10" s="73">
        <v>5.8</v>
      </c>
    </row>
    <row r="11" spans="1:16">
      <c r="A11" s="66" t="s">
        <v>144</v>
      </c>
      <c r="B11" s="71">
        <v>2020</v>
      </c>
      <c r="C11" s="66" t="s">
        <v>150</v>
      </c>
      <c r="D11" s="72"/>
      <c r="E11" s="73"/>
      <c r="F11" s="72">
        <v>3013000</v>
      </c>
      <c r="G11" s="73">
        <v>18.8</v>
      </c>
      <c r="H11" s="72">
        <v>5719200</v>
      </c>
      <c r="I11" s="73">
        <v>19.899999999999999</v>
      </c>
      <c r="J11" s="72"/>
      <c r="K11" s="73"/>
      <c r="L11" s="72">
        <v>1194800</v>
      </c>
      <c r="M11" s="73">
        <v>7.4</v>
      </c>
      <c r="N11" s="72">
        <v>2128800</v>
      </c>
      <c r="O11" s="73">
        <v>7.4</v>
      </c>
    </row>
    <row r="12" spans="1:16">
      <c r="A12" s="66" t="s">
        <v>144</v>
      </c>
      <c r="B12" s="71">
        <v>2021</v>
      </c>
      <c r="C12" s="66" t="s">
        <v>150</v>
      </c>
      <c r="D12" s="72"/>
      <c r="E12" s="73"/>
      <c r="F12" s="72">
        <v>2654200</v>
      </c>
      <c r="G12" s="73">
        <v>16.5</v>
      </c>
      <c r="H12" s="72">
        <v>5374000</v>
      </c>
      <c r="I12" s="73">
        <v>18.899999999999999</v>
      </c>
      <c r="J12" s="72"/>
      <c r="K12" s="73"/>
      <c r="L12" s="72">
        <v>922300</v>
      </c>
      <c r="M12" s="73">
        <v>5.7</v>
      </c>
      <c r="N12" s="72">
        <v>1925000</v>
      </c>
      <c r="O12" s="73">
        <v>6.8</v>
      </c>
    </row>
    <row r="13" spans="1:16">
      <c r="A13" s="66" t="s">
        <v>144</v>
      </c>
      <c r="B13" s="71">
        <v>2022</v>
      </c>
      <c r="C13" s="66" t="s">
        <v>150</v>
      </c>
      <c r="D13" s="72"/>
      <c r="E13" s="73"/>
      <c r="F13" s="72">
        <v>2469500</v>
      </c>
      <c r="G13" s="73">
        <v>15</v>
      </c>
      <c r="H13" s="72">
        <v>4882900</v>
      </c>
      <c r="I13" s="73">
        <v>17</v>
      </c>
      <c r="J13" s="72"/>
      <c r="K13" s="73"/>
      <c r="L13" s="72">
        <v>910100</v>
      </c>
      <c r="M13" s="73">
        <v>5.5</v>
      </c>
      <c r="N13" s="72">
        <v>1849000</v>
      </c>
      <c r="O13" s="73">
        <v>6.4</v>
      </c>
    </row>
    <row r="14" spans="1:16">
      <c r="A14" s="66" t="s">
        <v>144</v>
      </c>
      <c r="B14" s="71">
        <v>2023</v>
      </c>
      <c r="C14" s="66" t="s">
        <v>150</v>
      </c>
      <c r="D14" s="72"/>
      <c r="E14" s="73"/>
      <c r="F14" s="72">
        <v>2094300.0000000002</v>
      </c>
      <c r="G14" s="73">
        <v>12.5</v>
      </c>
      <c r="H14" s="72">
        <v>5798400</v>
      </c>
      <c r="I14" s="73">
        <v>19.899999999999999</v>
      </c>
      <c r="J14" s="72"/>
      <c r="K14" s="73"/>
      <c r="L14" s="72">
        <v>748200</v>
      </c>
      <c r="M14" s="73">
        <v>4.5</v>
      </c>
      <c r="N14" s="72">
        <v>2476800</v>
      </c>
      <c r="O14" s="73">
        <v>8.5</v>
      </c>
    </row>
    <row r="15" spans="1:16">
      <c r="A15" s="66" t="s">
        <v>119</v>
      </c>
      <c r="B15" s="71">
        <v>2015</v>
      </c>
      <c r="C15" s="66" t="s">
        <v>150</v>
      </c>
      <c r="D15" s="72"/>
      <c r="E15" s="73"/>
      <c r="F15" s="72">
        <v>8300700.0000000009</v>
      </c>
      <c r="G15" s="73">
        <v>25.3</v>
      </c>
      <c r="H15" s="72">
        <v>7798900</v>
      </c>
      <c r="I15" s="73">
        <v>23.5</v>
      </c>
      <c r="J15" s="72"/>
      <c r="K15" s="73"/>
      <c r="L15" s="72">
        <v>3109500</v>
      </c>
      <c r="M15" s="73">
        <v>9.5</v>
      </c>
      <c r="N15" s="72">
        <v>2798100</v>
      </c>
      <c r="O15" s="73">
        <v>8.4</v>
      </c>
    </row>
    <row r="16" spans="1:16">
      <c r="A16" s="66" t="s">
        <v>119</v>
      </c>
      <c r="B16" s="71">
        <v>2020</v>
      </c>
      <c r="C16" s="66" t="s">
        <v>150</v>
      </c>
      <c r="D16" s="72"/>
      <c r="E16" s="73"/>
      <c r="F16" s="72">
        <v>9252100</v>
      </c>
      <c r="G16" s="73">
        <v>26.3</v>
      </c>
      <c r="H16" s="72">
        <v>9146700</v>
      </c>
      <c r="I16" s="73">
        <v>25.7</v>
      </c>
      <c r="J16" s="72"/>
      <c r="K16" s="73"/>
      <c r="L16" s="72">
        <v>3178800</v>
      </c>
      <c r="M16" s="73">
        <v>9</v>
      </c>
      <c r="N16" s="72">
        <v>2915400</v>
      </c>
      <c r="O16" s="73">
        <v>8.1999999999999993</v>
      </c>
    </row>
    <row r="17" spans="1:15">
      <c r="A17" s="66" t="s">
        <v>119</v>
      </c>
      <c r="B17" s="71">
        <v>2021</v>
      </c>
      <c r="C17" s="66" t="s">
        <v>150</v>
      </c>
      <c r="D17" s="72"/>
      <c r="E17" s="73"/>
      <c r="F17" s="72">
        <v>10316400</v>
      </c>
      <c r="G17" s="73">
        <v>28.9</v>
      </c>
      <c r="H17" s="72">
        <v>11198700</v>
      </c>
      <c r="I17" s="73">
        <v>31.1</v>
      </c>
      <c r="J17" s="72"/>
      <c r="K17" s="73"/>
      <c r="L17" s="72">
        <v>3829800</v>
      </c>
      <c r="M17" s="73">
        <v>10.7</v>
      </c>
      <c r="N17" s="72">
        <v>4453400</v>
      </c>
      <c r="O17" s="73">
        <v>12.4</v>
      </c>
    </row>
    <row r="18" spans="1:15">
      <c r="A18" s="66" t="s">
        <v>119</v>
      </c>
      <c r="B18" s="71">
        <v>2022</v>
      </c>
      <c r="C18" s="66" t="s">
        <v>150</v>
      </c>
      <c r="D18" s="72"/>
      <c r="E18" s="73"/>
      <c r="F18" s="72">
        <v>9362100</v>
      </c>
      <c r="G18" s="73">
        <v>25.8</v>
      </c>
      <c r="H18" s="72">
        <v>9699900</v>
      </c>
      <c r="I18" s="73">
        <v>26.5</v>
      </c>
      <c r="J18" s="72"/>
      <c r="K18" s="73"/>
      <c r="L18" s="72">
        <v>3360200</v>
      </c>
      <c r="M18" s="73">
        <v>9.3000000000000007</v>
      </c>
      <c r="N18" s="72">
        <v>3601100</v>
      </c>
      <c r="O18" s="73">
        <v>9.8000000000000007</v>
      </c>
    </row>
    <row r="19" spans="1:15">
      <c r="A19" s="66" t="s">
        <v>119</v>
      </c>
      <c r="B19" s="71">
        <v>2023</v>
      </c>
      <c r="C19" s="66" t="s">
        <v>150</v>
      </c>
      <c r="D19" s="72"/>
      <c r="E19" s="73"/>
      <c r="F19" s="72">
        <v>10159200</v>
      </c>
      <c r="G19" s="73">
        <v>27.6</v>
      </c>
      <c r="H19" s="72">
        <v>9983700</v>
      </c>
      <c r="I19" s="73">
        <v>26.9</v>
      </c>
      <c r="J19" s="72"/>
      <c r="K19" s="73"/>
      <c r="L19" s="72">
        <v>3197400</v>
      </c>
      <c r="M19" s="73">
        <v>8.6999999999999993</v>
      </c>
      <c r="N19" s="72">
        <v>3023100</v>
      </c>
      <c r="O19" s="73">
        <v>8.1</v>
      </c>
    </row>
    <row r="20" spans="1:15">
      <c r="A20" s="66" t="s">
        <v>120</v>
      </c>
      <c r="B20" s="71">
        <v>2015</v>
      </c>
      <c r="C20" s="66" t="s">
        <v>150</v>
      </c>
      <c r="D20" s="72"/>
      <c r="E20" s="73"/>
      <c r="F20" s="72">
        <v>17601900</v>
      </c>
      <c r="G20" s="73">
        <v>31.3</v>
      </c>
      <c r="H20" s="72">
        <v>15632700</v>
      </c>
      <c r="I20" s="73">
        <v>27.7</v>
      </c>
      <c r="J20" s="72"/>
      <c r="K20" s="73"/>
      <c r="L20" s="72">
        <v>6562600</v>
      </c>
      <c r="M20" s="73">
        <v>11.7</v>
      </c>
      <c r="N20" s="72">
        <v>6289000</v>
      </c>
      <c r="O20" s="73">
        <v>11.2</v>
      </c>
    </row>
    <row r="21" spans="1:15">
      <c r="A21" s="66" t="s">
        <v>120</v>
      </c>
      <c r="B21" s="71">
        <v>2020</v>
      </c>
      <c r="C21" s="66" t="s">
        <v>150</v>
      </c>
      <c r="D21" s="72"/>
      <c r="E21" s="73"/>
      <c r="F21" s="72">
        <v>22961000</v>
      </c>
      <c r="G21" s="73">
        <v>36.5</v>
      </c>
      <c r="H21" s="72">
        <v>21834600</v>
      </c>
      <c r="I21" s="73">
        <v>34.700000000000003</v>
      </c>
      <c r="J21" s="72"/>
      <c r="K21" s="73"/>
      <c r="L21" s="72">
        <v>9103300</v>
      </c>
      <c r="M21" s="73">
        <v>14.5</v>
      </c>
      <c r="N21" s="72">
        <v>8156900</v>
      </c>
      <c r="O21" s="73">
        <v>12.9</v>
      </c>
    </row>
    <row r="22" spans="1:15">
      <c r="A22" s="66" t="s">
        <v>120</v>
      </c>
      <c r="B22" s="71">
        <v>2021</v>
      </c>
      <c r="C22" s="66" t="s">
        <v>150</v>
      </c>
      <c r="D22" s="72"/>
      <c r="E22" s="73"/>
      <c r="F22" s="72">
        <v>25770700</v>
      </c>
      <c r="G22" s="73">
        <v>39.9</v>
      </c>
      <c r="H22" s="72">
        <v>23216600</v>
      </c>
      <c r="I22" s="73">
        <v>36</v>
      </c>
      <c r="J22" s="72"/>
      <c r="K22" s="73"/>
      <c r="L22" s="72">
        <v>10272100</v>
      </c>
      <c r="M22" s="73">
        <v>15.9</v>
      </c>
      <c r="N22" s="72">
        <v>8749200</v>
      </c>
      <c r="O22" s="73">
        <v>13.6</v>
      </c>
    </row>
    <row r="23" spans="1:15">
      <c r="A23" s="66" t="s">
        <v>120</v>
      </c>
      <c r="B23" s="71">
        <v>2022</v>
      </c>
      <c r="C23" s="66" t="s">
        <v>150</v>
      </c>
      <c r="D23" s="72"/>
      <c r="E23" s="73"/>
      <c r="F23" s="72">
        <v>27580600</v>
      </c>
      <c r="G23" s="73">
        <v>41.7</v>
      </c>
      <c r="H23" s="72">
        <v>22624400</v>
      </c>
      <c r="I23" s="73">
        <v>34.200000000000003</v>
      </c>
      <c r="J23" s="72"/>
      <c r="K23" s="73"/>
      <c r="L23" s="72">
        <v>13383500</v>
      </c>
      <c r="M23" s="73">
        <v>20.2</v>
      </c>
      <c r="N23" s="72">
        <v>10336100</v>
      </c>
      <c r="O23" s="73">
        <v>15.6</v>
      </c>
    </row>
    <row r="24" spans="1:15">
      <c r="A24" s="66" t="s">
        <v>120</v>
      </c>
      <c r="B24" s="71">
        <v>2023</v>
      </c>
      <c r="C24" s="66" t="s">
        <v>150</v>
      </c>
      <c r="D24" s="72"/>
      <c r="E24" s="73"/>
      <c r="F24" s="72">
        <v>27952100</v>
      </c>
      <c r="G24" s="73">
        <v>41.2</v>
      </c>
      <c r="H24" s="72">
        <v>23295900</v>
      </c>
      <c r="I24" s="73">
        <v>34.299999999999997</v>
      </c>
      <c r="J24" s="72"/>
      <c r="K24" s="73"/>
      <c r="L24" s="72">
        <v>13211900</v>
      </c>
      <c r="M24" s="73">
        <v>19.5</v>
      </c>
      <c r="N24" s="72">
        <v>11003600</v>
      </c>
      <c r="O24" s="73">
        <v>16.2</v>
      </c>
    </row>
    <row r="25" spans="1:15">
      <c r="A25" s="66" t="s">
        <v>121</v>
      </c>
      <c r="B25" s="71">
        <v>2015</v>
      </c>
      <c r="C25" s="66" t="s">
        <v>150</v>
      </c>
      <c r="D25" s="72"/>
      <c r="E25" s="73"/>
      <c r="F25" s="72">
        <v>12821600</v>
      </c>
      <c r="G25" s="73">
        <v>51.7</v>
      </c>
      <c r="H25" s="72">
        <v>12063900</v>
      </c>
      <c r="I25" s="73">
        <v>49.3</v>
      </c>
      <c r="J25" s="72"/>
      <c r="K25" s="73"/>
      <c r="L25" s="72">
        <v>4252200</v>
      </c>
      <c r="M25" s="73">
        <v>17.2</v>
      </c>
      <c r="N25" s="72">
        <v>3872900</v>
      </c>
      <c r="O25" s="73">
        <v>15.8</v>
      </c>
    </row>
    <row r="26" spans="1:15">
      <c r="A26" s="66" t="s">
        <v>121</v>
      </c>
      <c r="B26" s="71">
        <v>2020</v>
      </c>
      <c r="C26" s="66" t="s">
        <v>150</v>
      </c>
      <c r="D26" s="72"/>
      <c r="E26" s="73"/>
      <c r="F26" s="72">
        <v>17134500</v>
      </c>
      <c r="G26" s="73">
        <v>58.7</v>
      </c>
      <c r="H26" s="72">
        <v>16207200</v>
      </c>
      <c r="I26" s="73">
        <v>56.3</v>
      </c>
      <c r="J26" s="72"/>
      <c r="K26" s="73"/>
      <c r="L26" s="72">
        <v>5842900</v>
      </c>
      <c r="M26" s="73">
        <v>20</v>
      </c>
      <c r="N26" s="72">
        <v>5392600</v>
      </c>
      <c r="O26" s="73">
        <v>18.7</v>
      </c>
    </row>
    <row r="27" spans="1:15">
      <c r="A27" s="66" t="s">
        <v>121</v>
      </c>
      <c r="B27" s="71">
        <v>2021</v>
      </c>
      <c r="C27" s="66" t="s">
        <v>150</v>
      </c>
      <c r="D27" s="72"/>
      <c r="E27" s="73"/>
      <c r="F27" s="72">
        <v>19486900</v>
      </c>
      <c r="G27" s="73">
        <v>64.8</v>
      </c>
      <c r="H27" s="72">
        <v>18327200</v>
      </c>
      <c r="I27" s="73">
        <v>61.9</v>
      </c>
      <c r="J27" s="72"/>
      <c r="K27" s="73"/>
      <c r="L27" s="72">
        <v>6527800</v>
      </c>
      <c r="M27" s="73">
        <v>21.7</v>
      </c>
      <c r="N27" s="72">
        <v>5960000</v>
      </c>
      <c r="O27" s="73">
        <v>20.100000000000001</v>
      </c>
    </row>
    <row r="28" spans="1:15">
      <c r="A28" s="66" t="s">
        <v>121</v>
      </c>
      <c r="B28" s="71">
        <v>2022</v>
      </c>
      <c r="C28" s="66" t="s">
        <v>150</v>
      </c>
      <c r="D28" s="72"/>
      <c r="E28" s="73"/>
      <c r="F28" s="72">
        <v>20050400</v>
      </c>
      <c r="G28" s="73">
        <v>64.8</v>
      </c>
      <c r="H28" s="72">
        <v>18760800</v>
      </c>
      <c r="I28" s="73">
        <v>61.5</v>
      </c>
      <c r="J28" s="72"/>
      <c r="K28" s="73"/>
      <c r="L28" s="72">
        <v>6756800</v>
      </c>
      <c r="M28" s="73">
        <v>21.8</v>
      </c>
      <c r="N28" s="72">
        <v>6139100</v>
      </c>
      <c r="O28" s="73">
        <v>20.100000000000001</v>
      </c>
    </row>
    <row r="29" spans="1:15">
      <c r="A29" s="66" t="s">
        <v>121</v>
      </c>
      <c r="B29" s="71">
        <v>2023</v>
      </c>
      <c r="C29" s="66" t="s">
        <v>150</v>
      </c>
      <c r="D29" s="72"/>
      <c r="E29" s="73"/>
      <c r="F29" s="72">
        <v>21609800</v>
      </c>
      <c r="G29" s="73">
        <v>67.8</v>
      </c>
      <c r="H29" s="72">
        <v>20946400</v>
      </c>
      <c r="I29" s="73">
        <v>66.7</v>
      </c>
      <c r="J29" s="72"/>
      <c r="K29" s="73"/>
      <c r="L29" s="72">
        <v>7057800</v>
      </c>
      <c r="M29" s="73">
        <v>22.1</v>
      </c>
      <c r="N29" s="72">
        <v>6979000</v>
      </c>
      <c r="O29" s="73">
        <v>22.2</v>
      </c>
    </row>
    <row r="30" spans="1:15">
      <c r="A30" s="66" t="s">
        <v>67</v>
      </c>
      <c r="B30" s="71">
        <v>2015</v>
      </c>
      <c r="C30" s="66" t="s">
        <v>151</v>
      </c>
      <c r="D30" s="72">
        <v>130344000</v>
      </c>
      <c r="E30" s="73">
        <v>32</v>
      </c>
      <c r="F30" s="72"/>
      <c r="G30" s="73"/>
      <c r="H30" s="72"/>
      <c r="I30" s="73"/>
      <c r="J30" s="72">
        <v>46762300</v>
      </c>
      <c r="K30" s="73">
        <v>11.5</v>
      </c>
      <c r="L30" s="72"/>
      <c r="M30" s="73"/>
      <c r="N30" s="72"/>
      <c r="O30" s="73"/>
    </row>
    <row r="31" spans="1:15">
      <c r="A31" s="66" t="s">
        <v>67</v>
      </c>
      <c r="B31" s="71">
        <v>2020</v>
      </c>
      <c r="C31" s="66" t="s">
        <v>151</v>
      </c>
      <c r="D31" s="72">
        <v>163550000</v>
      </c>
      <c r="E31" s="73">
        <v>36.4</v>
      </c>
      <c r="F31" s="72"/>
      <c r="G31" s="73"/>
      <c r="H31" s="72"/>
      <c r="I31" s="73"/>
      <c r="J31" s="72">
        <v>59144900</v>
      </c>
      <c r="K31" s="73">
        <v>13.2</v>
      </c>
      <c r="L31" s="72"/>
      <c r="M31" s="73"/>
      <c r="N31" s="72"/>
      <c r="O31" s="73"/>
    </row>
    <row r="32" spans="1:15">
      <c r="A32" s="66" t="s">
        <v>67</v>
      </c>
      <c r="B32" s="71">
        <v>2021</v>
      </c>
      <c r="C32" s="66" t="s">
        <v>151</v>
      </c>
      <c r="D32" s="72">
        <v>179853000</v>
      </c>
      <c r="E32" s="73">
        <v>39.4</v>
      </c>
      <c r="F32" s="72"/>
      <c r="G32" s="73"/>
      <c r="H32" s="72"/>
      <c r="I32" s="73"/>
      <c r="J32" s="72">
        <v>65911700</v>
      </c>
      <c r="K32" s="73">
        <v>14.4</v>
      </c>
      <c r="L32" s="72"/>
      <c r="M32" s="73"/>
      <c r="N32" s="72"/>
      <c r="O32" s="73"/>
    </row>
    <row r="33" spans="1:15">
      <c r="A33" s="66" t="s">
        <v>67</v>
      </c>
      <c r="B33" s="71">
        <v>2022</v>
      </c>
      <c r="C33" s="66" t="s">
        <v>151</v>
      </c>
      <c r="D33" s="72">
        <v>178180000</v>
      </c>
      <c r="E33" s="73">
        <v>38.299999999999997</v>
      </c>
      <c r="F33" s="72"/>
      <c r="G33" s="73"/>
      <c r="H33" s="72"/>
      <c r="I33" s="73"/>
      <c r="J33" s="72">
        <v>71371200</v>
      </c>
      <c r="K33" s="73">
        <v>15.4</v>
      </c>
      <c r="L33" s="72"/>
      <c r="M33" s="73"/>
      <c r="N33" s="72"/>
      <c r="O33" s="73"/>
    </row>
    <row r="34" spans="1:15">
      <c r="A34" s="66" t="s">
        <v>67</v>
      </c>
      <c r="B34" s="71">
        <v>2023</v>
      </c>
      <c r="C34" s="66" t="s">
        <v>151</v>
      </c>
      <c r="D34" s="72">
        <v>186519000</v>
      </c>
      <c r="E34" s="73">
        <v>39.4</v>
      </c>
      <c r="F34" s="72"/>
      <c r="G34" s="73"/>
      <c r="H34" s="72"/>
      <c r="I34" s="73"/>
      <c r="J34" s="72">
        <v>72717900</v>
      </c>
      <c r="K34" s="73">
        <v>15.4</v>
      </c>
      <c r="L34" s="72"/>
      <c r="M34" s="73"/>
      <c r="N34" s="72"/>
      <c r="O34" s="73"/>
    </row>
    <row r="35" spans="1:15">
      <c r="A35" s="66" t="s">
        <v>144</v>
      </c>
      <c r="B35" s="71">
        <v>2015</v>
      </c>
      <c r="C35" s="66" t="s">
        <v>151</v>
      </c>
      <c r="D35" s="72">
        <v>11225800</v>
      </c>
      <c r="E35" s="73">
        <v>21</v>
      </c>
      <c r="F35" s="72"/>
      <c r="G35" s="73"/>
      <c r="H35" s="72"/>
      <c r="I35" s="73"/>
      <c r="J35" s="72">
        <v>3421400</v>
      </c>
      <c r="K35" s="73">
        <v>6.4</v>
      </c>
      <c r="L35" s="72"/>
      <c r="M35" s="73"/>
      <c r="N35" s="72"/>
      <c r="O35" s="73"/>
    </row>
    <row r="36" spans="1:15">
      <c r="A36" s="66" t="s">
        <v>144</v>
      </c>
      <c r="B36" s="71">
        <v>2020</v>
      </c>
      <c r="C36" s="66" t="s">
        <v>151</v>
      </c>
      <c r="D36" s="72">
        <v>11451300</v>
      </c>
      <c r="E36" s="73">
        <v>19.600000000000001</v>
      </c>
      <c r="F36" s="72"/>
      <c r="G36" s="73"/>
      <c r="H36" s="72"/>
      <c r="I36" s="73"/>
      <c r="J36" s="72">
        <v>4428900</v>
      </c>
      <c r="K36" s="73">
        <v>7.6</v>
      </c>
      <c r="L36" s="72"/>
      <c r="M36" s="73"/>
      <c r="N36" s="72"/>
      <c r="O36" s="73"/>
    </row>
    <row r="37" spans="1:15">
      <c r="A37" s="66" t="s">
        <v>144</v>
      </c>
      <c r="B37" s="71">
        <v>2021</v>
      </c>
      <c r="C37" s="66" t="s">
        <v>151</v>
      </c>
      <c r="D37" s="72">
        <v>10512600</v>
      </c>
      <c r="E37" s="73">
        <v>18.100000000000001</v>
      </c>
      <c r="F37" s="72"/>
      <c r="G37" s="73"/>
      <c r="H37" s="72"/>
      <c r="I37" s="73"/>
      <c r="J37" s="72">
        <v>3744100</v>
      </c>
      <c r="K37" s="73">
        <v>6.4</v>
      </c>
      <c r="L37" s="72"/>
      <c r="M37" s="73"/>
      <c r="N37" s="72"/>
      <c r="O37" s="73"/>
    </row>
    <row r="38" spans="1:15">
      <c r="A38" s="66" t="s">
        <v>144</v>
      </c>
      <c r="B38" s="71">
        <v>2022</v>
      </c>
      <c r="C38" s="66" t="s">
        <v>151</v>
      </c>
      <c r="D38" s="72">
        <v>9600300</v>
      </c>
      <c r="E38" s="73">
        <v>16.3</v>
      </c>
      <c r="F38" s="72"/>
      <c r="G38" s="73"/>
      <c r="H38" s="72"/>
      <c r="I38" s="73"/>
      <c r="J38" s="72">
        <v>3640300</v>
      </c>
      <c r="K38" s="73">
        <v>6.2</v>
      </c>
      <c r="L38" s="72"/>
      <c r="M38" s="73"/>
      <c r="N38" s="72"/>
      <c r="O38" s="73"/>
    </row>
    <row r="39" spans="1:15">
      <c r="A39" s="66" t="s">
        <v>144</v>
      </c>
      <c r="B39" s="71">
        <v>2023</v>
      </c>
      <c r="C39" s="66" t="s">
        <v>151</v>
      </c>
      <c r="D39" s="72">
        <v>9937600</v>
      </c>
      <c r="E39" s="73">
        <v>16.7</v>
      </c>
      <c r="F39" s="72"/>
      <c r="G39" s="73"/>
      <c r="H39" s="72"/>
      <c r="I39" s="73"/>
      <c r="J39" s="72">
        <v>4033200</v>
      </c>
      <c r="K39" s="73">
        <v>6.8</v>
      </c>
      <c r="L39" s="72"/>
      <c r="M39" s="73"/>
      <c r="N39" s="72"/>
      <c r="O39" s="73"/>
    </row>
    <row r="40" spans="1:15">
      <c r="A40" s="66" t="s">
        <v>119</v>
      </c>
      <c r="B40" s="71">
        <v>2015</v>
      </c>
      <c r="C40" s="66" t="s">
        <v>151</v>
      </c>
      <c r="D40" s="72">
        <v>22473700</v>
      </c>
      <c r="E40" s="73">
        <v>24.4</v>
      </c>
      <c r="F40" s="72"/>
      <c r="G40" s="73"/>
      <c r="H40" s="72"/>
      <c r="I40" s="73"/>
      <c r="J40" s="72">
        <v>8263799.9999999991</v>
      </c>
      <c r="K40" s="73">
        <v>9</v>
      </c>
      <c r="L40" s="72"/>
      <c r="M40" s="73"/>
      <c r="N40" s="72"/>
      <c r="O40" s="73"/>
    </row>
    <row r="41" spans="1:15">
      <c r="A41" s="66" t="s">
        <v>119</v>
      </c>
      <c r="B41" s="71">
        <v>2020</v>
      </c>
      <c r="C41" s="66" t="s">
        <v>151</v>
      </c>
      <c r="D41" s="72">
        <v>25599400</v>
      </c>
      <c r="E41" s="73">
        <v>25.9</v>
      </c>
      <c r="F41" s="72"/>
      <c r="G41" s="73"/>
      <c r="H41" s="72"/>
      <c r="I41" s="73"/>
      <c r="J41" s="72">
        <v>8455600</v>
      </c>
      <c r="K41" s="73">
        <v>8.5</v>
      </c>
      <c r="L41" s="72"/>
      <c r="M41" s="73"/>
      <c r="N41" s="72"/>
      <c r="O41" s="73"/>
    </row>
    <row r="42" spans="1:15">
      <c r="A42" s="66" t="s">
        <v>119</v>
      </c>
      <c r="B42" s="71">
        <v>2021</v>
      </c>
      <c r="C42" s="66" t="s">
        <v>151</v>
      </c>
      <c r="D42" s="72">
        <v>29874700</v>
      </c>
      <c r="E42" s="73">
        <v>29.8</v>
      </c>
      <c r="F42" s="72"/>
      <c r="G42" s="73"/>
      <c r="H42" s="72"/>
      <c r="I42" s="73"/>
      <c r="J42" s="72">
        <v>11474200</v>
      </c>
      <c r="K42" s="73">
        <v>11.4</v>
      </c>
      <c r="L42" s="72"/>
      <c r="M42" s="73"/>
      <c r="N42" s="72"/>
      <c r="O42" s="73"/>
    </row>
    <row r="43" spans="1:15">
      <c r="A43" s="66" t="s">
        <v>119</v>
      </c>
      <c r="B43" s="71">
        <v>2022</v>
      </c>
      <c r="C43" s="66" t="s">
        <v>151</v>
      </c>
      <c r="D43" s="72">
        <v>26386200</v>
      </c>
      <c r="E43" s="73">
        <v>26</v>
      </c>
      <c r="F43" s="72"/>
      <c r="G43" s="73"/>
      <c r="H43" s="72"/>
      <c r="I43" s="73"/>
      <c r="J43" s="72">
        <v>9604200</v>
      </c>
      <c r="K43" s="73">
        <v>9.5</v>
      </c>
      <c r="L43" s="72"/>
      <c r="M43" s="73"/>
      <c r="N43" s="72"/>
      <c r="O43" s="73"/>
    </row>
    <row r="44" spans="1:15">
      <c r="A44" s="66" t="s">
        <v>119</v>
      </c>
      <c r="B44" s="71">
        <v>2023</v>
      </c>
      <c r="C44" s="66" t="s">
        <v>151</v>
      </c>
      <c r="D44" s="72">
        <v>27752200</v>
      </c>
      <c r="E44" s="73">
        <v>27</v>
      </c>
      <c r="F44" s="72"/>
      <c r="G44" s="73"/>
      <c r="H44" s="72"/>
      <c r="I44" s="73"/>
      <c r="J44" s="72">
        <v>8557500</v>
      </c>
      <c r="K44" s="73">
        <v>8.3000000000000007</v>
      </c>
      <c r="L44" s="72"/>
      <c r="M44" s="73"/>
      <c r="N44" s="72"/>
      <c r="O44" s="73"/>
    </row>
    <row r="45" spans="1:15">
      <c r="A45" s="66" t="s">
        <v>120</v>
      </c>
      <c r="B45" s="71">
        <v>2015</v>
      </c>
      <c r="C45" s="66" t="s">
        <v>151</v>
      </c>
      <c r="D45" s="72">
        <v>52854000</v>
      </c>
      <c r="E45" s="73">
        <v>30.2</v>
      </c>
      <c r="F45" s="72"/>
      <c r="G45" s="73"/>
      <c r="H45" s="72"/>
      <c r="I45" s="73"/>
      <c r="J45" s="72">
        <v>20578200</v>
      </c>
      <c r="K45" s="73">
        <v>11.8</v>
      </c>
      <c r="L45" s="72"/>
      <c r="M45" s="73"/>
      <c r="N45" s="72"/>
      <c r="O45" s="73"/>
    </row>
    <row r="46" spans="1:15">
      <c r="A46" s="66" t="s">
        <v>120</v>
      </c>
      <c r="B46" s="71">
        <v>2020</v>
      </c>
      <c r="C46" s="66" t="s">
        <v>151</v>
      </c>
      <c r="D46" s="72">
        <v>68805400</v>
      </c>
      <c r="E46" s="73">
        <v>35.799999999999997</v>
      </c>
      <c r="F46" s="72"/>
      <c r="G46" s="73"/>
      <c r="H46" s="72"/>
      <c r="I46" s="73"/>
      <c r="J46" s="72">
        <v>26506400</v>
      </c>
      <c r="K46" s="73">
        <v>13.8</v>
      </c>
      <c r="L46" s="72"/>
      <c r="M46" s="73"/>
      <c r="N46" s="72"/>
      <c r="O46" s="73"/>
    </row>
    <row r="47" spans="1:15">
      <c r="A47" s="66" t="s">
        <v>120</v>
      </c>
      <c r="B47" s="71">
        <v>2021</v>
      </c>
      <c r="C47" s="66" t="s">
        <v>151</v>
      </c>
      <c r="D47" s="72">
        <v>74422500</v>
      </c>
      <c r="E47" s="73">
        <v>38</v>
      </c>
      <c r="F47" s="72"/>
      <c r="G47" s="73"/>
      <c r="H47" s="72"/>
      <c r="I47" s="73"/>
      <c r="J47" s="72">
        <v>28858300</v>
      </c>
      <c r="K47" s="73">
        <v>14.7</v>
      </c>
      <c r="L47" s="72"/>
      <c r="M47" s="73"/>
      <c r="N47" s="72"/>
      <c r="O47" s="73"/>
    </row>
    <row r="48" spans="1:15">
      <c r="A48" s="66" t="s">
        <v>120</v>
      </c>
      <c r="B48" s="71">
        <v>2022</v>
      </c>
      <c r="C48" s="66" t="s">
        <v>151</v>
      </c>
      <c r="D48" s="72">
        <v>75680700</v>
      </c>
      <c r="E48" s="73">
        <v>37.9</v>
      </c>
      <c r="F48" s="72"/>
      <c r="G48" s="73"/>
      <c r="H48" s="72"/>
      <c r="I48" s="73"/>
      <c r="J48" s="72">
        <v>35652600</v>
      </c>
      <c r="K48" s="73">
        <v>17.899999999999999</v>
      </c>
      <c r="L48" s="72"/>
      <c r="M48" s="73"/>
      <c r="N48" s="72"/>
      <c r="O48" s="73"/>
    </row>
    <row r="49" spans="1:15">
      <c r="A49" s="66" t="s">
        <v>120</v>
      </c>
      <c r="B49" s="71">
        <v>2023</v>
      </c>
      <c r="C49" s="66" t="s">
        <v>151</v>
      </c>
      <c r="D49" s="72">
        <v>76316000</v>
      </c>
      <c r="E49" s="73">
        <v>37.5</v>
      </c>
      <c r="F49" s="72"/>
      <c r="G49" s="73"/>
      <c r="H49" s="72"/>
      <c r="I49" s="73"/>
      <c r="J49" s="72">
        <v>35802300</v>
      </c>
      <c r="K49" s="73">
        <v>17.600000000000001</v>
      </c>
      <c r="L49" s="72"/>
      <c r="M49" s="73"/>
      <c r="N49" s="72"/>
      <c r="O49" s="73"/>
    </row>
    <row r="50" spans="1:15">
      <c r="A50" s="66" t="s">
        <v>121</v>
      </c>
      <c r="B50" s="71">
        <v>2015</v>
      </c>
      <c r="C50" s="66" t="s">
        <v>151</v>
      </c>
      <c r="D50" s="72">
        <v>43790400</v>
      </c>
      <c r="E50" s="73">
        <v>50.8</v>
      </c>
      <c r="F50" s="72"/>
      <c r="G50" s="73"/>
      <c r="H50" s="72"/>
      <c r="I50" s="73"/>
      <c r="J50" s="72">
        <v>14498900</v>
      </c>
      <c r="K50" s="73">
        <v>16.8</v>
      </c>
      <c r="L50" s="72"/>
      <c r="M50" s="73"/>
      <c r="N50" s="72"/>
      <c r="O50" s="73"/>
    </row>
    <row r="51" spans="1:15">
      <c r="A51" s="66" t="s">
        <v>121</v>
      </c>
      <c r="B51" s="71">
        <v>2020</v>
      </c>
      <c r="C51" s="66" t="s">
        <v>151</v>
      </c>
      <c r="D51" s="72">
        <v>57693900</v>
      </c>
      <c r="E51" s="73">
        <v>57.9</v>
      </c>
      <c r="F51" s="72"/>
      <c r="G51" s="73"/>
      <c r="H51" s="72"/>
      <c r="I51" s="73"/>
      <c r="J51" s="72">
        <v>19754100</v>
      </c>
      <c r="K51" s="73">
        <v>19.8</v>
      </c>
      <c r="L51" s="72"/>
      <c r="M51" s="73"/>
      <c r="N51" s="72"/>
      <c r="O51" s="73"/>
    </row>
    <row r="52" spans="1:15">
      <c r="A52" s="66" t="s">
        <v>121</v>
      </c>
      <c r="B52" s="71">
        <v>2021</v>
      </c>
      <c r="C52" s="66" t="s">
        <v>151</v>
      </c>
      <c r="D52" s="72">
        <v>65043300</v>
      </c>
      <c r="E52" s="73">
        <v>63.6</v>
      </c>
      <c r="F52" s="72"/>
      <c r="G52" s="73"/>
      <c r="H52" s="72"/>
      <c r="I52" s="73"/>
      <c r="J52" s="72">
        <v>21835100</v>
      </c>
      <c r="K52" s="73">
        <v>21.4</v>
      </c>
      <c r="L52" s="72"/>
      <c r="M52" s="73"/>
      <c r="N52" s="72"/>
      <c r="O52" s="73"/>
    </row>
    <row r="53" spans="1:15">
      <c r="A53" s="66" t="s">
        <v>121</v>
      </c>
      <c r="B53" s="71">
        <v>2022</v>
      </c>
      <c r="C53" s="66" t="s">
        <v>151</v>
      </c>
      <c r="D53" s="72">
        <v>66512600.000000007</v>
      </c>
      <c r="E53" s="73">
        <v>63.4</v>
      </c>
      <c r="F53" s="72"/>
      <c r="G53" s="73"/>
      <c r="H53" s="72"/>
      <c r="I53" s="73"/>
      <c r="J53" s="72">
        <v>22474200</v>
      </c>
      <c r="K53" s="73">
        <v>21.4</v>
      </c>
      <c r="L53" s="72"/>
      <c r="M53" s="73"/>
      <c r="N53" s="72"/>
      <c r="O53" s="73"/>
    </row>
    <row r="54" spans="1:15">
      <c r="A54" s="66" t="s">
        <v>121</v>
      </c>
      <c r="B54" s="71">
        <v>2023</v>
      </c>
      <c r="C54" s="66" t="s">
        <v>151</v>
      </c>
      <c r="D54" s="72">
        <v>72513700</v>
      </c>
      <c r="E54" s="73">
        <v>67.400000000000006</v>
      </c>
      <c r="F54" s="72"/>
      <c r="G54" s="73"/>
      <c r="H54" s="72"/>
      <c r="I54" s="73"/>
      <c r="J54" s="72">
        <v>24324900</v>
      </c>
      <c r="K54" s="73">
        <v>22.6</v>
      </c>
      <c r="L54" s="72"/>
      <c r="M54" s="73"/>
      <c r="N54" s="72"/>
      <c r="O54" s="73"/>
    </row>
    <row r="55" spans="1:15">
      <c r="A55" s="66" t="s">
        <v>144</v>
      </c>
      <c r="B55" s="71">
        <v>2015</v>
      </c>
      <c r="C55" s="66" t="s">
        <v>150</v>
      </c>
      <c r="D55" s="73"/>
      <c r="E55" s="73"/>
      <c r="F55" s="73"/>
      <c r="G55" s="73">
        <v>21.4</v>
      </c>
      <c r="H55" s="73"/>
      <c r="I55" s="73">
        <v>20</v>
      </c>
      <c r="J55" s="73"/>
      <c r="K55" s="73"/>
      <c r="L55" s="73"/>
      <c r="M55" s="73"/>
      <c r="N55" s="73"/>
      <c r="O55" s="73"/>
    </row>
    <row r="56" spans="1:15">
      <c r="A56" s="66" t="s">
        <v>144</v>
      </c>
      <c r="B56" s="71">
        <v>2020</v>
      </c>
      <c r="C56" s="66" t="s">
        <v>150</v>
      </c>
      <c r="D56" s="73"/>
      <c r="E56" s="73"/>
      <c r="F56" s="73"/>
      <c r="G56" s="73">
        <v>18.8</v>
      </c>
      <c r="H56" s="73"/>
      <c r="I56" s="73">
        <v>19.899999999999999</v>
      </c>
      <c r="J56" s="73"/>
      <c r="K56" s="73"/>
      <c r="L56" s="73"/>
      <c r="M56" s="73"/>
      <c r="N56" s="73"/>
      <c r="O56" s="73"/>
    </row>
    <row r="57" spans="1:15">
      <c r="A57" s="66" t="s">
        <v>144</v>
      </c>
      <c r="B57" s="71">
        <v>2021</v>
      </c>
      <c r="C57" s="66" t="s">
        <v>150</v>
      </c>
      <c r="D57" s="73"/>
      <c r="E57" s="73"/>
      <c r="F57" s="73"/>
      <c r="G57" s="73">
        <v>16.5</v>
      </c>
      <c r="H57" s="73"/>
      <c r="I57" s="73">
        <v>18.899999999999999</v>
      </c>
      <c r="J57" s="73"/>
      <c r="K57" s="73"/>
      <c r="L57" s="73"/>
      <c r="M57" s="73"/>
      <c r="N57" s="73"/>
      <c r="O57" s="73"/>
    </row>
    <row r="58" spans="1:15">
      <c r="A58" s="66" t="s">
        <v>144</v>
      </c>
      <c r="B58" s="71">
        <v>2022</v>
      </c>
      <c r="C58" s="66" t="s">
        <v>150</v>
      </c>
      <c r="D58" s="73"/>
      <c r="E58" s="73"/>
      <c r="F58" s="73"/>
      <c r="G58" s="73">
        <v>15</v>
      </c>
      <c r="H58" s="73"/>
      <c r="I58" s="73">
        <v>17</v>
      </c>
      <c r="J58" s="73"/>
      <c r="K58" s="73"/>
      <c r="L58" s="73"/>
      <c r="M58" s="73"/>
      <c r="N58" s="73"/>
      <c r="O58" s="73"/>
    </row>
    <row r="59" spans="1:15">
      <c r="A59" s="66" t="s">
        <v>144</v>
      </c>
      <c r="B59" s="71">
        <v>2023</v>
      </c>
      <c r="C59" s="66" t="s">
        <v>150</v>
      </c>
      <c r="D59" s="73"/>
      <c r="E59" s="73"/>
      <c r="F59" s="73"/>
      <c r="G59" s="73">
        <v>12.5</v>
      </c>
      <c r="H59" s="73"/>
      <c r="I59" s="73">
        <v>19.899999999999999</v>
      </c>
      <c r="J59" s="73"/>
      <c r="K59" s="73"/>
      <c r="L59" s="73"/>
      <c r="M59" s="73"/>
      <c r="N59" s="73"/>
      <c r="O59" s="73"/>
    </row>
    <row r="60" spans="1:15">
      <c r="A60" s="66" t="s">
        <v>144</v>
      </c>
      <c r="B60" s="71">
        <v>2015</v>
      </c>
      <c r="C60" s="66" t="s">
        <v>151</v>
      </c>
      <c r="D60" s="73"/>
      <c r="E60" s="73">
        <v>21</v>
      </c>
      <c r="F60" s="73"/>
      <c r="G60" s="73"/>
      <c r="H60" s="73"/>
      <c r="I60" s="73"/>
      <c r="J60" s="73"/>
      <c r="K60" s="73"/>
      <c r="L60" s="73"/>
      <c r="M60" s="73"/>
      <c r="N60" s="73"/>
      <c r="O60" s="73"/>
    </row>
    <row r="61" spans="1:15">
      <c r="A61" s="66" t="s">
        <v>144</v>
      </c>
      <c r="B61" s="71">
        <v>2020</v>
      </c>
      <c r="C61" s="66" t="s">
        <v>151</v>
      </c>
      <c r="D61" s="73"/>
      <c r="E61" s="73">
        <v>19.600000000000001</v>
      </c>
      <c r="F61" s="73"/>
      <c r="G61" s="73"/>
      <c r="H61" s="73"/>
      <c r="I61" s="73"/>
      <c r="J61" s="73"/>
      <c r="K61" s="73"/>
      <c r="L61" s="73"/>
      <c r="M61" s="73"/>
      <c r="N61" s="73"/>
      <c r="O61" s="73"/>
    </row>
    <row r="62" spans="1:15">
      <c r="A62" s="66" t="s">
        <v>144</v>
      </c>
      <c r="B62" s="71">
        <v>2021</v>
      </c>
      <c r="C62" s="66" t="s">
        <v>151</v>
      </c>
      <c r="D62" s="73"/>
      <c r="E62" s="73">
        <v>18.100000000000001</v>
      </c>
      <c r="F62" s="73"/>
      <c r="G62" s="73"/>
      <c r="H62" s="73"/>
      <c r="I62" s="73"/>
      <c r="J62" s="73"/>
      <c r="K62" s="73"/>
      <c r="L62" s="73"/>
      <c r="M62" s="73"/>
      <c r="N62" s="73"/>
      <c r="O62" s="73"/>
    </row>
    <row r="63" spans="1:15">
      <c r="A63" s="66" t="s">
        <v>144</v>
      </c>
      <c r="B63" s="71">
        <v>2022</v>
      </c>
      <c r="C63" s="66" t="s">
        <v>151</v>
      </c>
      <c r="D63" s="73"/>
      <c r="E63" s="73">
        <v>16.3</v>
      </c>
      <c r="F63" s="73"/>
      <c r="G63" s="73"/>
      <c r="H63" s="73"/>
      <c r="I63" s="73"/>
      <c r="J63" s="73"/>
      <c r="K63" s="73"/>
      <c r="L63" s="73"/>
      <c r="M63" s="73"/>
      <c r="N63" s="73"/>
      <c r="O63" s="73"/>
    </row>
    <row r="64" spans="1:15">
      <c r="A64" s="66" t="s">
        <v>144</v>
      </c>
      <c r="B64" s="71">
        <v>2023</v>
      </c>
      <c r="C64" s="66" t="s">
        <v>151</v>
      </c>
      <c r="D64" s="73"/>
      <c r="E64" s="73">
        <v>16.7</v>
      </c>
      <c r="F64" s="73"/>
      <c r="G64" s="73"/>
      <c r="H64" s="73"/>
      <c r="I64" s="73"/>
      <c r="J64" s="73"/>
      <c r="K64" s="73"/>
      <c r="L64" s="73"/>
      <c r="M64" s="73"/>
      <c r="N64" s="73"/>
      <c r="O64" s="73"/>
    </row>
    <row r="65" spans="1:15">
      <c r="A65" s="66" t="s">
        <v>119</v>
      </c>
      <c r="B65" s="71">
        <v>2015</v>
      </c>
      <c r="C65" s="66" t="s">
        <v>150</v>
      </c>
      <c r="D65" s="73"/>
      <c r="E65" s="73"/>
      <c r="F65" s="73"/>
      <c r="G65" s="73">
        <v>25.3</v>
      </c>
      <c r="H65" s="73"/>
      <c r="I65" s="73">
        <v>23.5</v>
      </c>
      <c r="J65" s="73"/>
      <c r="K65" s="73"/>
      <c r="L65" s="73"/>
      <c r="M65" s="73"/>
      <c r="N65" s="73"/>
      <c r="O65" s="73"/>
    </row>
    <row r="66" spans="1:15">
      <c r="A66" s="66" t="s">
        <v>119</v>
      </c>
      <c r="B66" s="71">
        <v>2020</v>
      </c>
      <c r="C66" s="66" t="s">
        <v>150</v>
      </c>
      <c r="D66" s="73"/>
      <c r="E66" s="73"/>
      <c r="F66" s="73"/>
      <c r="G66" s="73">
        <v>26.3</v>
      </c>
      <c r="H66" s="73"/>
      <c r="I66" s="73">
        <v>25.7</v>
      </c>
      <c r="J66" s="73"/>
      <c r="K66" s="73"/>
      <c r="L66" s="73"/>
      <c r="M66" s="73"/>
      <c r="N66" s="73"/>
      <c r="O66" s="73"/>
    </row>
    <row r="67" spans="1:15">
      <c r="A67" s="66" t="s">
        <v>119</v>
      </c>
      <c r="B67" s="71">
        <v>2021</v>
      </c>
      <c r="C67" s="66" t="s">
        <v>150</v>
      </c>
      <c r="D67" s="73"/>
      <c r="E67" s="73"/>
      <c r="F67" s="73"/>
      <c r="G67" s="73">
        <v>28.9</v>
      </c>
      <c r="H67" s="73"/>
      <c r="I67" s="73">
        <v>31.1</v>
      </c>
      <c r="J67" s="73"/>
      <c r="K67" s="73"/>
      <c r="L67" s="73"/>
      <c r="M67" s="73"/>
      <c r="N67" s="73"/>
      <c r="O67" s="73"/>
    </row>
    <row r="68" spans="1:15">
      <c r="A68" s="66" t="s">
        <v>119</v>
      </c>
      <c r="B68" s="71">
        <v>2022</v>
      </c>
      <c r="C68" s="66" t="s">
        <v>150</v>
      </c>
      <c r="D68" s="73"/>
      <c r="E68" s="73"/>
      <c r="F68" s="73"/>
      <c r="G68" s="73">
        <v>25.8</v>
      </c>
      <c r="H68" s="73"/>
      <c r="I68" s="73">
        <v>26.5</v>
      </c>
      <c r="J68" s="73"/>
      <c r="K68" s="73"/>
      <c r="L68" s="73"/>
      <c r="M68" s="73"/>
      <c r="N68" s="73"/>
      <c r="O68" s="73"/>
    </row>
    <row r="69" spans="1:15">
      <c r="A69" s="66" t="s">
        <v>119</v>
      </c>
      <c r="B69" s="71">
        <v>2023</v>
      </c>
      <c r="C69" s="66" t="s">
        <v>150</v>
      </c>
      <c r="D69" s="73"/>
      <c r="E69" s="73"/>
      <c r="F69" s="73"/>
      <c r="G69" s="73">
        <v>27.6</v>
      </c>
      <c r="H69" s="73"/>
      <c r="I69" s="73">
        <v>26.9</v>
      </c>
      <c r="J69" s="73"/>
      <c r="K69" s="73"/>
      <c r="L69" s="73"/>
      <c r="M69" s="73"/>
      <c r="N69" s="73"/>
      <c r="O69" s="73"/>
    </row>
    <row r="70" spans="1:15">
      <c r="A70" s="66" t="s">
        <v>119</v>
      </c>
      <c r="B70" s="71">
        <v>2015</v>
      </c>
      <c r="C70" s="66" t="s">
        <v>151</v>
      </c>
      <c r="D70" s="73"/>
      <c r="E70" s="73">
        <v>24.4</v>
      </c>
      <c r="F70" s="73"/>
      <c r="G70" s="73"/>
      <c r="H70" s="73"/>
      <c r="I70" s="73"/>
      <c r="J70" s="73"/>
      <c r="K70" s="73"/>
      <c r="L70" s="73"/>
      <c r="M70" s="73"/>
      <c r="N70" s="73"/>
      <c r="O70" s="73"/>
    </row>
    <row r="71" spans="1:15">
      <c r="A71" s="66" t="s">
        <v>119</v>
      </c>
      <c r="B71" s="71">
        <v>2020</v>
      </c>
      <c r="C71" s="66" t="s">
        <v>151</v>
      </c>
      <c r="D71" s="73"/>
      <c r="E71" s="73">
        <v>25.9</v>
      </c>
      <c r="F71" s="73"/>
      <c r="G71" s="73"/>
      <c r="H71" s="73"/>
      <c r="I71" s="73"/>
      <c r="J71" s="73"/>
      <c r="K71" s="73"/>
      <c r="L71" s="73"/>
      <c r="M71" s="73"/>
      <c r="N71" s="73"/>
      <c r="O71" s="73"/>
    </row>
    <row r="72" spans="1:15">
      <c r="A72" s="66" t="s">
        <v>119</v>
      </c>
      <c r="B72" s="71">
        <v>2021</v>
      </c>
      <c r="C72" s="66" t="s">
        <v>151</v>
      </c>
      <c r="D72" s="73"/>
      <c r="E72" s="73">
        <v>29.8</v>
      </c>
      <c r="F72" s="73"/>
      <c r="G72" s="73"/>
      <c r="H72" s="73"/>
      <c r="I72" s="73"/>
      <c r="J72" s="73"/>
      <c r="K72" s="73"/>
      <c r="L72" s="73"/>
      <c r="M72" s="73"/>
      <c r="N72" s="73"/>
      <c r="O72" s="73"/>
    </row>
    <row r="73" spans="1:15">
      <c r="A73" s="66" t="s">
        <v>119</v>
      </c>
      <c r="B73" s="71">
        <v>2022</v>
      </c>
      <c r="C73" s="66" t="s">
        <v>151</v>
      </c>
      <c r="D73" s="73"/>
      <c r="E73" s="73">
        <v>26</v>
      </c>
      <c r="F73" s="73"/>
      <c r="G73" s="73"/>
      <c r="H73" s="73"/>
      <c r="I73" s="73"/>
      <c r="J73" s="73"/>
      <c r="K73" s="73"/>
      <c r="L73" s="73"/>
      <c r="M73" s="73"/>
      <c r="N73" s="73"/>
      <c r="O73" s="73"/>
    </row>
    <row r="74" spans="1:15">
      <c r="A74" s="66" t="s">
        <v>119</v>
      </c>
      <c r="B74" s="71">
        <v>2023</v>
      </c>
      <c r="C74" s="66" t="s">
        <v>151</v>
      </c>
      <c r="D74" s="73"/>
      <c r="E74" s="73">
        <v>27</v>
      </c>
      <c r="F74" s="73"/>
      <c r="G74" s="73"/>
      <c r="H74" s="73"/>
      <c r="I74" s="73"/>
      <c r="J74" s="73"/>
      <c r="K74" s="73"/>
      <c r="L74" s="73"/>
      <c r="M74" s="73"/>
      <c r="N74" s="73"/>
      <c r="O74" s="73"/>
    </row>
    <row r="75" spans="1:15">
      <c r="A75" s="66" t="s">
        <v>120</v>
      </c>
      <c r="B75" s="71">
        <v>2015</v>
      </c>
      <c r="C75" s="66" t="s">
        <v>150</v>
      </c>
      <c r="D75" s="73"/>
      <c r="E75" s="73"/>
      <c r="F75" s="73"/>
      <c r="G75" s="73">
        <v>31.3</v>
      </c>
      <c r="H75" s="73"/>
      <c r="I75" s="73">
        <v>27.7</v>
      </c>
      <c r="J75" s="73"/>
      <c r="K75" s="73"/>
      <c r="L75" s="73"/>
      <c r="M75" s="73"/>
      <c r="N75" s="73"/>
      <c r="O75" s="73"/>
    </row>
    <row r="76" spans="1:15">
      <c r="A76" s="66" t="s">
        <v>120</v>
      </c>
      <c r="B76" s="71">
        <v>2020</v>
      </c>
      <c r="C76" s="66" t="s">
        <v>150</v>
      </c>
      <c r="D76" s="73"/>
      <c r="E76" s="73"/>
      <c r="F76" s="73"/>
      <c r="G76" s="73">
        <v>36.5</v>
      </c>
      <c r="H76" s="73"/>
      <c r="I76" s="73">
        <v>34.700000000000003</v>
      </c>
      <c r="J76" s="73"/>
      <c r="K76" s="73"/>
      <c r="L76" s="73"/>
      <c r="M76" s="73"/>
      <c r="N76" s="73"/>
      <c r="O76" s="73"/>
    </row>
    <row r="77" spans="1:15">
      <c r="A77" s="66" t="s">
        <v>120</v>
      </c>
      <c r="B77" s="71">
        <v>2021</v>
      </c>
      <c r="C77" s="66" t="s">
        <v>150</v>
      </c>
      <c r="D77" s="73"/>
      <c r="E77" s="73"/>
      <c r="F77" s="73"/>
      <c r="G77" s="73">
        <v>39.9</v>
      </c>
      <c r="H77" s="73"/>
      <c r="I77" s="73">
        <v>36</v>
      </c>
      <c r="J77" s="73"/>
      <c r="K77" s="73"/>
      <c r="L77" s="73"/>
      <c r="M77" s="73"/>
      <c r="N77" s="73"/>
      <c r="O77" s="73"/>
    </row>
    <row r="78" spans="1:15">
      <c r="A78" s="66" t="s">
        <v>120</v>
      </c>
      <c r="B78" s="71">
        <v>2022</v>
      </c>
      <c r="C78" s="66" t="s">
        <v>150</v>
      </c>
      <c r="D78" s="73"/>
      <c r="E78" s="73"/>
      <c r="F78" s="73"/>
      <c r="G78" s="73">
        <v>41.7</v>
      </c>
      <c r="H78" s="73"/>
      <c r="I78" s="73">
        <v>34.200000000000003</v>
      </c>
      <c r="J78" s="73"/>
      <c r="K78" s="73"/>
      <c r="L78" s="73"/>
      <c r="M78" s="73"/>
      <c r="N78" s="73"/>
      <c r="O78" s="73"/>
    </row>
    <row r="79" spans="1:15">
      <c r="A79" s="66" t="s">
        <v>120</v>
      </c>
      <c r="B79" s="71">
        <v>2023</v>
      </c>
      <c r="C79" s="66" t="s">
        <v>150</v>
      </c>
      <c r="D79" s="73"/>
      <c r="E79" s="73"/>
      <c r="F79" s="73"/>
      <c r="G79" s="73">
        <v>41.2</v>
      </c>
      <c r="H79" s="73"/>
      <c r="I79" s="73">
        <v>34.299999999999997</v>
      </c>
      <c r="J79" s="73"/>
      <c r="K79" s="73"/>
      <c r="L79" s="73"/>
      <c r="M79" s="73"/>
      <c r="N79" s="73"/>
      <c r="O79" s="73"/>
    </row>
    <row r="80" spans="1:15">
      <c r="A80" s="66" t="s">
        <v>120</v>
      </c>
      <c r="B80" s="71">
        <v>2015</v>
      </c>
      <c r="C80" s="66" t="s">
        <v>151</v>
      </c>
      <c r="D80" s="73"/>
      <c r="E80" s="73">
        <v>30.2</v>
      </c>
      <c r="F80" s="73"/>
      <c r="G80" s="73"/>
      <c r="H80" s="73"/>
      <c r="I80" s="73"/>
      <c r="J80" s="73"/>
      <c r="K80" s="73"/>
      <c r="L80" s="73"/>
      <c r="M80" s="73"/>
      <c r="N80" s="73"/>
      <c r="O80" s="73"/>
    </row>
    <row r="81" spans="1:15">
      <c r="A81" s="66" t="s">
        <v>120</v>
      </c>
      <c r="B81" s="71">
        <v>2020</v>
      </c>
      <c r="C81" s="66" t="s">
        <v>151</v>
      </c>
      <c r="D81" s="73"/>
      <c r="E81" s="73">
        <v>35.799999999999997</v>
      </c>
      <c r="F81" s="73"/>
      <c r="G81" s="73"/>
      <c r="H81" s="73"/>
      <c r="I81" s="73"/>
      <c r="J81" s="73"/>
      <c r="K81" s="73"/>
      <c r="L81" s="73"/>
      <c r="M81" s="73"/>
      <c r="N81" s="73"/>
      <c r="O81" s="73"/>
    </row>
    <row r="82" spans="1:15">
      <c r="A82" s="66" t="s">
        <v>120</v>
      </c>
      <c r="B82" s="71">
        <v>2021</v>
      </c>
      <c r="C82" s="66" t="s">
        <v>151</v>
      </c>
      <c r="D82" s="73"/>
      <c r="E82" s="73">
        <v>38</v>
      </c>
      <c r="F82" s="73"/>
      <c r="G82" s="73"/>
      <c r="H82" s="73"/>
      <c r="I82" s="73"/>
      <c r="J82" s="73"/>
      <c r="K82" s="73"/>
      <c r="L82" s="73"/>
      <c r="M82" s="73"/>
      <c r="N82" s="73"/>
      <c r="O82" s="73"/>
    </row>
    <row r="83" spans="1:15">
      <c r="A83" s="66" t="s">
        <v>120</v>
      </c>
      <c r="B83" s="71">
        <v>2022</v>
      </c>
      <c r="C83" s="66" t="s">
        <v>151</v>
      </c>
      <c r="D83" s="73"/>
      <c r="E83" s="73">
        <v>37.9</v>
      </c>
      <c r="F83" s="73"/>
      <c r="G83" s="73"/>
      <c r="H83" s="73"/>
      <c r="I83" s="73"/>
      <c r="J83" s="73"/>
      <c r="K83" s="73"/>
      <c r="L83" s="73"/>
      <c r="M83" s="73"/>
      <c r="N83" s="73"/>
      <c r="O83" s="73"/>
    </row>
    <row r="84" spans="1:15">
      <c r="A84" s="66" t="s">
        <v>120</v>
      </c>
      <c r="B84" s="71">
        <v>2023</v>
      </c>
      <c r="C84" s="66" t="s">
        <v>151</v>
      </c>
      <c r="D84" s="73"/>
      <c r="E84" s="73">
        <v>37.5</v>
      </c>
      <c r="F84" s="73"/>
      <c r="G84" s="73"/>
      <c r="H84" s="73"/>
      <c r="I84" s="73"/>
      <c r="J84" s="73"/>
      <c r="K84" s="73"/>
      <c r="L84" s="73"/>
      <c r="M84" s="73"/>
      <c r="N84" s="73"/>
      <c r="O84" s="73"/>
    </row>
    <row r="85" spans="1:15">
      <c r="A85" s="66" t="s">
        <v>121</v>
      </c>
      <c r="B85" s="71">
        <v>2015</v>
      </c>
      <c r="C85" s="66" t="s">
        <v>150</v>
      </c>
      <c r="D85" s="73"/>
      <c r="E85" s="73"/>
      <c r="F85" s="73"/>
      <c r="G85" s="73">
        <v>51.7</v>
      </c>
      <c r="H85" s="73"/>
      <c r="I85" s="73">
        <v>49.3</v>
      </c>
      <c r="J85" s="73"/>
      <c r="K85" s="73"/>
      <c r="L85" s="73"/>
      <c r="M85" s="73"/>
      <c r="N85" s="73"/>
      <c r="O85" s="73"/>
    </row>
    <row r="86" spans="1:15">
      <c r="A86" s="66" t="s">
        <v>121</v>
      </c>
      <c r="B86" s="71">
        <v>2020</v>
      </c>
      <c r="C86" s="66" t="s">
        <v>150</v>
      </c>
      <c r="D86" s="73"/>
      <c r="E86" s="73"/>
      <c r="F86" s="73"/>
      <c r="G86" s="73">
        <v>58.7</v>
      </c>
      <c r="H86" s="73"/>
      <c r="I86" s="73">
        <v>56.3</v>
      </c>
      <c r="J86" s="73"/>
      <c r="K86" s="73"/>
      <c r="L86" s="73"/>
      <c r="M86" s="73"/>
      <c r="N86" s="73"/>
      <c r="O86" s="73"/>
    </row>
    <row r="87" spans="1:15">
      <c r="A87" s="66" t="s">
        <v>121</v>
      </c>
      <c r="B87" s="71">
        <v>2021</v>
      </c>
      <c r="C87" s="66" t="s">
        <v>150</v>
      </c>
      <c r="D87" s="73"/>
      <c r="E87" s="73"/>
      <c r="F87" s="73"/>
      <c r="G87" s="73">
        <v>64.8</v>
      </c>
      <c r="H87" s="73"/>
      <c r="I87" s="73">
        <v>61.9</v>
      </c>
      <c r="J87" s="73"/>
      <c r="K87" s="73"/>
      <c r="L87" s="73"/>
      <c r="M87" s="73"/>
      <c r="N87" s="73"/>
      <c r="O87" s="73"/>
    </row>
    <row r="88" spans="1:15">
      <c r="A88" s="66" t="s">
        <v>121</v>
      </c>
      <c r="B88" s="71">
        <v>2022</v>
      </c>
      <c r="C88" s="66" t="s">
        <v>150</v>
      </c>
      <c r="D88" s="73"/>
      <c r="E88" s="73"/>
      <c r="F88" s="73"/>
      <c r="G88" s="73">
        <v>64.8</v>
      </c>
      <c r="H88" s="73"/>
      <c r="I88" s="73">
        <v>61.5</v>
      </c>
      <c r="J88" s="73"/>
      <c r="K88" s="73"/>
      <c r="L88" s="73"/>
      <c r="M88" s="73"/>
      <c r="N88" s="73"/>
      <c r="O88" s="73"/>
    </row>
    <row r="89" spans="1:15">
      <c r="A89" s="66" t="s">
        <v>121</v>
      </c>
      <c r="B89" s="71">
        <v>2023</v>
      </c>
      <c r="C89" s="66" t="s">
        <v>150</v>
      </c>
      <c r="D89" s="73"/>
      <c r="E89" s="73"/>
      <c r="F89" s="73"/>
      <c r="G89" s="73">
        <v>67.8</v>
      </c>
      <c r="H89" s="73"/>
      <c r="I89" s="73">
        <v>66.7</v>
      </c>
      <c r="J89" s="73"/>
      <c r="K89" s="73"/>
      <c r="L89" s="73"/>
      <c r="M89" s="73"/>
      <c r="N89" s="73"/>
      <c r="O89" s="73"/>
    </row>
    <row r="90" spans="1:15">
      <c r="A90" s="66" t="s">
        <v>121</v>
      </c>
      <c r="B90" s="71">
        <v>2015</v>
      </c>
      <c r="C90" s="66" t="s">
        <v>151</v>
      </c>
      <c r="D90" s="73"/>
      <c r="E90" s="73">
        <v>50.8</v>
      </c>
      <c r="F90" s="73"/>
      <c r="G90" s="73"/>
      <c r="H90" s="73"/>
      <c r="I90" s="73"/>
      <c r="J90" s="73"/>
      <c r="K90" s="73"/>
      <c r="L90" s="73"/>
      <c r="M90" s="73"/>
      <c r="N90" s="73"/>
      <c r="O90" s="73"/>
    </row>
    <row r="91" spans="1:15">
      <c r="A91" s="66" t="s">
        <v>121</v>
      </c>
      <c r="B91" s="71">
        <v>2020</v>
      </c>
      <c r="C91" s="66" t="s">
        <v>151</v>
      </c>
      <c r="D91" s="73"/>
      <c r="E91" s="73">
        <v>57.9</v>
      </c>
      <c r="F91" s="73"/>
      <c r="G91" s="73"/>
      <c r="H91" s="73"/>
      <c r="I91" s="73"/>
      <c r="J91" s="73"/>
      <c r="K91" s="73"/>
      <c r="L91" s="73"/>
      <c r="M91" s="73"/>
      <c r="N91" s="73"/>
      <c r="O91" s="73"/>
    </row>
    <row r="92" spans="1:15">
      <c r="A92" s="66" t="s">
        <v>121</v>
      </c>
      <c r="B92" s="71">
        <v>2021</v>
      </c>
      <c r="C92" s="66" t="s">
        <v>151</v>
      </c>
      <c r="D92" s="73"/>
      <c r="E92" s="73">
        <v>63.6</v>
      </c>
      <c r="F92" s="73"/>
      <c r="G92" s="73"/>
      <c r="H92" s="73"/>
      <c r="I92" s="73"/>
      <c r="J92" s="73"/>
      <c r="K92" s="73"/>
      <c r="L92" s="73"/>
      <c r="M92" s="73"/>
      <c r="N92" s="73"/>
      <c r="O92" s="73"/>
    </row>
    <row r="93" spans="1:15">
      <c r="A93" s="66" t="s">
        <v>121</v>
      </c>
      <c r="B93" s="71">
        <v>2022</v>
      </c>
      <c r="C93" s="66" t="s">
        <v>151</v>
      </c>
      <c r="D93" s="73"/>
      <c r="E93" s="73">
        <v>63.4</v>
      </c>
      <c r="F93" s="73"/>
      <c r="G93" s="73"/>
      <c r="H93" s="73"/>
      <c r="I93" s="73"/>
      <c r="J93" s="73"/>
      <c r="K93" s="73"/>
      <c r="L93" s="73"/>
      <c r="M93" s="73"/>
      <c r="N93" s="73"/>
      <c r="O93" s="73"/>
    </row>
    <row r="94" spans="1:15">
      <c r="A94" s="66" t="s">
        <v>121</v>
      </c>
      <c r="B94" s="71">
        <v>2023</v>
      </c>
      <c r="C94" s="66" t="s">
        <v>151</v>
      </c>
      <c r="D94" s="73"/>
      <c r="E94" s="73">
        <v>67.400000000000006</v>
      </c>
      <c r="F94" s="73"/>
      <c r="G94" s="73"/>
      <c r="H94" s="73"/>
      <c r="I94" s="73"/>
      <c r="J94" s="73"/>
      <c r="K94" s="73"/>
      <c r="L94" s="73"/>
      <c r="M94" s="73"/>
      <c r="N94" s="73"/>
      <c r="O94" s="73"/>
    </row>
    <row r="95" spans="1:15">
      <c r="A95" s="63" t="s">
        <v>110</v>
      </c>
      <c r="B95" s="71">
        <v>2015</v>
      </c>
      <c r="C95" s="66" t="s">
        <v>150</v>
      </c>
      <c r="D95" s="73"/>
      <c r="E95" s="73"/>
      <c r="F95" s="73"/>
      <c r="G95" s="73">
        <v>20.3</v>
      </c>
      <c r="H95" s="73"/>
      <c r="I95" s="73">
        <v>18.399999999999999</v>
      </c>
      <c r="J95" s="73"/>
      <c r="K95" s="73"/>
      <c r="L95" s="73"/>
      <c r="M95" s="73"/>
      <c r="N95" s="73"/>
      <c r="O95" s="73"/>
    </row>
    <row r="96" spans="1:15">
      <c r="A96" s="64" t="s">
        <v>110</v>
      </c>
      <c r="B96" s="71">
        <v>2020</v>
      </c>
      <c r="C96" s="66" t="s">
        <v>150</v>
      </c>
      <c r="D96" s="73"/>
      <c r="E96" s="73"/>
      <c r="F96" s="73"/>
      <c r="G96" s="73">
        <v>27.3</v>
      </c>
      <c r="H96" s="73"/>
      <c r="I96" s="73">
        <v>24.9</v>
      </c>
      <c r="J96" s="73"/>
      <c r="K96" s="73"/>
      <c r="L96" s="73"/>
      <c r="M96" s="73"/>
      <c r="N96" s="73"/>
      <c r="O96" s="73"/>
    </row>
    <row r="97" spans="1:15">
      <c r="A97" s="64" t="s">
        <v>110</v>
      </c>
      <c r="B97" s="71">
        <v>2021</v>
      </c>
      <c r="C97" s="66" t="s">
        <v>150</v>
      </c>
      <c r="D97" s="73"/>
      <c r="E97" s="73"/>
      <c r="F97" s="73"/>
      <c r="G97" s="73">
        <v>28</v>
      </c>
      <c r="H97" s="73"/>
      <c r="I97" s="73">
        <v>24.4</v>
      </c>
      <c r="J97" s="73"/>
      <c r="K97" s="73"/>
      <c r="L97" s="73"/>
      <c r="M97" s="73"/>
      <c r="N97" s="73"/>
      <c r="O97" s="73"/>
    </row>
    <row r="98" spans="1:15">
      <c r="A98" s="64" t="s">
        <v>110</v>
      </c>
      <c r="B98" s="71">
        <v>2022</v>
      </c>
      <c r="C98" s="66" t="s">
        <v>150</v>
      </c>
      <c r="D98" s="73"/>
      <c r="E98" s="73"/>
      <c r="F98" s="73"/>
      <c r="G98" s="73">
        <v>27.2</v>
      </c>
      <c r="H98" s="73"/>
      <c r="I98" s="73">
        <v>24.9</v>
      </c>
      <c r="J98" s="73"/>
      <c r="K98" s="73"/>
      <c r="L98" s="73"/>
      <c r="M98" s="73"/>
      <c r="N98" s="73"/>
      <c r="O98" s="73"/>
    </row>
    <row r="99" spans="1:15">
      <c r="A99" s="64" t="s">
        <v>110</v>
      </c>
      <c r="B99" s="71">
        <v>2023</v>
      </c>
      <c r="C99" s="66" t="s">
        <v>150</v>
      </c>
      <c r="D99" s="73"/>
      <c r="E99" s="73"/>
      <c r="F99" s="73"/>
      <c r="G99" s="73">
        <v>26.7</v>
      </c>
      <c r="H99" s="73"/>
      <c r="I99" s="73">
        <v>25.4</v>
      </c>
      <c r="J99" s="73"/>
      <c r="K99" s="73"/>
      <c r="L99" s="73"/>
      <c r="M99" s="73"/>
      <c r="N99" s="73"/>
      <c r="O99" s="73"/>
    </row>
    <row r="100" spans="1:15">
      <c r="A100" s="64" t="s">
        <v>110</v>
      </c>
      <c r="B100" s="71">
        <v>2015</v>
      </c>
      <c r="C100" s="66" t="s">
        <v>151</v>
      </c>
      <c r="D100" s="73"/>
      <c r="E100" s="73">
        <v>21.5</v>
      </c>
      <c r="F100" s="73"/>
      <c r="G100" s="73"/>
      <c r="H100" s="73"/>
      <c r="I100" s="73"/>
      <c r="J100" s="73"/>
      <c r="K100" s="73"/>
      <c r="L100" s="73"/>
      <c r="M100" s="73"/>
      <c r="N100" s="73"/>
      <c r="O100" s="73"/>
    </row>
    <row r="101" spans="1:15">
      <c r="A101" s="64" t="s">
        <v>110</v>
      </c>
      <c r="B101" s="71">
        <v>2020</v>
      </c>
      <c r="C101" s="66" t="s">
        <v>151</v>
      </c>
      <c r="D101" s="73"/>
      <c r="E101" s="73">
        <v>28.8</v>
      </c>
      <c r="F101" s="73"/>
      <c r="G101" s="73"/>
      <c r="H101" s="73"/>
      <c r="I101" s="73"/>
      <c r="J101" s="73"/>
      <c r="K101" s="73"/>
      <c r="L101" s="73"/>
      <c r="M101" s="73"/>
      <c r="N101" s="73"/>
      <c r="O101" s="73"/>
    </row>
    <row r="102" spans="1:15">
      <c r="A102" s="64" t="s">
        <v>110</v>
      </c>
      <c r="B102" s="71">
        <v>2021</v>
      </c>
      <c r="C102" s="66" t="s">
        <v>151</v>
      </c>
      <c r="D102" s="73"/>
      <c r="E102" s="73">
        <v>29.1</v>
      </c>
      <c r="F102" s="73"/>
      <c r="G102" s="73"/>
      <c r="H102" s="73"/>
      <c r="I102" s="73"/>
      <c r="J102" s="73"/>
      <c r="K102" s="73"/>
      <c r="L102" s="73"/>
      <c r="M102" s="73"/>
      <c r="N102" s="73"/>
      <c r="O102" s="73"/>
    </row>
    <row r="103" spans="1:15">
      <c r="A103" s="64" t="s">
        <v>110</v>
      </c>
      <c r="B103" s="71">
        <v>2022</v>
      </c>
      <c r="C103" s="66" t="s">
        <v>151</v>
      </c>
      <c r="D103" s="73"/>
      <c r="E103" s="73">
        <v>28.9</v>
      </c>
      <c r="F103" s="73"/>
      <c r="G103" s="73"/>
      <c r="H103" s="73"/>
      <c r="I103" s="73"/>
      <c r="J103" s="73"/>
      <c r="K103" s="73"/>
      <c r="L103" s="73"/>
      <c r="M103" s="73"/>
      <c r="N103" s="73"/>
      <c r="O103" s="73"/>
    </row>
    <row r="104" spans="1:15">
      <c r="A104" s="64" t="s">
        <v>110</v>
      </c>
      <c r="B104" s="71">
        <v>2023</v>
      </c>
      <c r="C104" s="66" t="s">
        <v>151</v>
      </c>
      <c r="D104" s="73"/>
      <c r="E104" s="73">
        <v>28.9</v>
      </c>
      <c r="F104" s="73"/>
      <c r="G104" s="73"/>
      <c r="H104" s="73"/>
      <c r="I104" s="73"/>
      <c r="J104" s="73"/>
      <c r="K104" s="73"/>
      <c r="L104" s="73"/>
      <c r="M104" s="73"/>
      <c r="N104" s="73"/>
      <c r="O104" s="73"/>
    </row>
  </sheetData>
  <autoFilter ref="A4:O104" xr:uid="{74ED7E2E-2F66-4110-876F-C3A2D2DFE275}"/>
  <mergeCells count="9">
    <mergeCell ref="D1:O1"/>
    <mergeCell ref="D2:I2"/>
    <mergeCell ref="J2:O2"/>
    <mergeCell ref="D3:E3"/>
    <mergeCell ref="F3:G3"/>
    <mergeCell ref="H3:I3"/>
    <mergeCell ref="J3:K3"/>
    <mergeCell ref="L3:M3"/>
    <mergeCell ref="N3:O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13446-F024-4188-BA57-DAA633BF7D6D}">
  <sheetPr codeName="Sheet16">
    <tabColor theme="6" tint="0.39997558519241921"/>
  </sheetPr>
  <dimension ref="A1:H103"/>
  <sheetViews>
    <sheetView showGridLines="0" zoomScale="70" zoomScaleNormal="70" workbookViewId="0">
      <pane xSplit="2" ySplit="3" topLeftCell="C67" activePane="bottomRight" state="frozen"/>
      <selection pane="topRight"/>
      <selection pane="bottomLeft"/>
      <selection pane="bottomRight" activeCell="E80" sqref="E80"/>
    </sheetView>
  </sheetViews>
  <sheetFormatPr defaultRowHeight="14.5"/>
  <cols>
    <col min="1" max="1" width="15.54296875" bestFit="1" customWidth="1"/>
    <col min="2" max="2" width="11.453125" bestFit="1" customWidth="1"/>
    <col min="3" max="3" width="20.453125" style="76" bestFit="1" customWidth="1"/>
    <col min="4" max="4" width="13.54296875" style="76" bestFit="1" customWidth="1"/>
    <col min="5" max="5" width="21.54296875" style="76" bestFit="1" customWidth="1"/>
    <col min="6" max="6" width="19.453125" style="76" bestFit="1" customWidth="1"/>
    <col min="7" max="7" width="22.453125" style="76" bestFit="1" customWidth="1"/>
    <col min="8" max="8" width="19.54296875" style="76" bestFit="1" customWidth="1"/>
  </cols>
  <sheetData>
    <row r="1" spans="1:8" ht="16">
      <c r="A1" s="63" t="s">
        <v>273</v>
      </c>
      <c r="B1" s="63"/>
      <c r="C1" s="463" t="s">
        <v>153</v>
      </c>
      <c r="D1" s="463"/>
      <c r="E1" s="463"/>
      <c r="F1" s="463"/>
      <c r="G1" s="463"/>
      <c r="H1" s="463"/>
    </row>
    <row r="2" spans="1:8">
      <c r="A2" s="63"/>
      <c r="B2" s="63"/>
      <c r="C2" s="464" t="s">
        <v>154</v>
      </c>
      <c r="D2" s="464"/>
      <c r="E2" s="464" t="s">
        <v>155</v>
      </c>
      <c r="F2" s="464"/>
      <c r="G2" s="464" t="s">
        <v>156</v>
      </c>
      <c r="H2" s="464"/>
    </row>
    <row r="3" spans="1:8">
      <c r="A3" s="64" t="s">
        <v>113</v>
      </c>
      <c r="B3" s="69" t="s">
        <v>104</v>
      </c>
      <c r="C3" s="74" t="s">
        <v>157</v>
      </c>
      <c r="D3" s="74" t="s">
        <v>112</v>
      </c>
      <c r="E3" s="74" t="s">
        <v>157</v>
      </c>
      <c r="F3" s="74" t="s">
        <v>112</v>
      </c>
      <c r="G3" s="74" t="s">
        <v>157</v>
      </c>
      <c r="H3" s="74" t="s">
        <v>112</v>
      </c>
    </row>
    <row r="4" spans="1:8">
      <c r="A4" s="66" t="s">
        <v>67</v>
      </c>
      <c r="B4" s="71">
        <v>2000</v>
      </c>
      <c r="C4" s="72">
        <v>26025.80078125</v>
      </c>
      <c r="D4" s="75">
        <v>38.1</v>
      </c>
      <c r="E4" s="72">
        <v>1959.1300048828125</v>
      </c>
      <c r="F4" s="75">
        <v>38.799999999999997</v>
      </c>
      <c r="G4" s="72">
        <v>24306.80078125</v>
      </c>
      <c r="H4" s="75">
        <v>38</v>
      </c>
    </row>
    <row r="5" spans="1:8">
      <c r="A5" s="66" t="s">
        <v>67</v>
      </c>
      <c r="B5" s="71">
        <v>2001</v>
      </c>
      <c r="C5" s="72">
        <v>26429.94921875</v>
      </c>
      <c r="D5" s="75">
        <v>37.6</v>
      </c>
      <c r="E5" s="72">
        <v>1961.77001953125</v>
      </c>
      <c r="F5" s="75">
        <v>38.5</v>
      </c>
      <c r="G5" s="72">
        <v>24697.900390625</v>
      </c>
      <c r="H5" s="75">
        <v>37.5</v>
      </c>
    </row>
    <row r="6" spans="1:8">
      <c r="A6" s="66" t="s">
        <v>67</v>
      </c>
      <c r="B6" s="71">
        <v>2002</v>
      </c>
      <c r="C6" s="72">
        <v>26912.30078125</v>
      </c>
      <c r="D6" s="75">
        <v>37.200000000000003</v>
      </c>
      <c r="E6" s="72">
        <v>1973.780029296875</v>
      </c>
      <c r="F6" s="75">
        <v>38.4</v>
      </c>
      <c r="G6" s="72">
        <v>25177.900390625</v>
      </c>
      <c r="H6" s="75">
        <v>37.1</v>
      </c>
    </row>
    <row r="7" spans="1:8">
      <c r="A7" s="66" t="s">
        <v>67</v>
      </c>
      <c r="B7" s="71">
        <v>2003</v>
      </c>
      <c r="C7" s="72">
        <v>27451.400390625</v>
      </c>
      <c r="D7" s="75">
        <v>36.9</v>
      </c>
      <c r="E7" s="72">
        <v>1992.030029296875</v>
      </c>
      <c r="F7" s="75">
        <v>38.200000000000003</v>
      </c>
      <c r="G7" s="72">
        <v>25706.599609375</v>
      </c>
      <c r="H7" s="75">
        <v>36.799999999999997</v>
      </c>
    </row>
    <row r="8" spans="1:8">
      <c r="A8" s="66" t="s">
        <v>67</v>
      </c>
      <c r="B8" s="71">
        <v>2004</v>
      </c>
      <c r="C8" s="72">
        <v>27958.779296875</v>
      </c>
      <c r="D8" s="75">
        <v>36.6</v>
      </c>
      <c r="E8" s="72">
        <v>2010.5999755859375</v>
      </c>
      <c r="F8" s="75">
        <v>38</v>
      </c>
      <c r="G8" s="72">
        <v>26196.69921875</v>
      </c>
      <c r="H8" s="75">
        <v>36.5</v>
      </c>
    </row>
    <row r="9" spans="1:8">
      <c r="A9" s="66" t="s">
        <v>67</v>
      </c>
      <c r="B9" s="71">
        <v>2005</v>
      </c>
      <c r="C9" s="72">
        <v>28431.98046875</v>
      </c>
      <c r="D9" s="75">
        <v>36.200000000000003</v>
      </c>
      <c r="E9" s="72">
        <v>2031.9000244140625</v>
      </c>
      <c r="F9" s="75">
        <v>37.700000000000003</v>
      </c>
      <c r="G9" s="72">
        <v>26667.099609375</v>
      </c>
      <c r="H9" s="75">
        <v>36.1</v>
      </c>
    </row>
    <row r="10" spans="1:8">
      <c r="A10" s="66" t="s">
        <v>67</v>
      </c>
      <c r="B10" s="71">
        <v>2006</v>
      </c>
      <c r="C10" s="72">
        <v>28850.7890625</v>
      </c>
      <c r="D10" s="75">
        <v>35.700000000000003</v>
      </c>
      <c r="E10" s="72">
        <v>2055.8701171875</v>
      </c>
      <c r="F10" s="75">
        <v>37.299999999999997</v>
      </c>
      <c r="G10" s="72">
        <v>27067.099609375</v>
      </c>
      <c r="H10" s="75">
        <v>35.6</v>
      </c>
    </row>
    <row r="11" spans="1:8">
      <c r="A11" s="66" t="s">
        <v>67</v>
      </c>
      <c r="B11" s="71">
        <v>2007</v>
      </c>
      <c r="C11" s="72">
        <v>29240.740234375</v>
      </c>
      <c r="D11" s="75">
        <v>35.299999999999997</v>
      </c>
      <c r="E11" s="72">
        <v>2083.919921875</v>
      </c>
      <c r="F11" s="75">
        <v>37</v>
      </c>
      <c r="G11" s="72">
        <v>27421.5</v>
      </c>
      <c r="H11" s="75">
        <v>35.200000000000003</v>
      </c>
    </row>
    <row r="12" spans="1:8">
      <c r="A12" s="66" t="s">
        <v>67</v>
      </c>
      <c r="B12" s="71">
        <v>2008</v>
      </c>
      <c r="C12" s="72">
        <v>29575.609375</v>
      </c>
      <c r="D12" s="75">
        <v>34.799999999999997</v>
      </c>
      <c r="E12" s="72">
        <v>2111.85009765625</v>
      </c>
      <c r="F12" s="75">
        <v>36.5</v>
      </c>
      <c r="G12" s="72">
        <v>27728.5</v>
      </c>
      <c r="H12" s="75">
        <v>34.6</v>
      </c>
    </row>
    <row r="13" spans="1:8">
      <c r="A13" s="66" t="s">
        <v>67</v>
      </c>
      <c r="B13" s="71">
        <v>2009</v>
      </c>
      <c r="C13" s="72">
        <v>29873.58984375</v>
      </c>
      <c r="D13" s="75">
        <v>34.299999999999997</v>
      </c>
      <c r="E13" s="72">
        <v>2137.449951171875</v>
      </c>
      <c r="F13" s="75">
        <v>36.1</v>
      </c>
      <c r="G13" s="72">
        <v>28018</v>
      </c>
      <c r="H13" s="75">
        <v>34.1</v>
      </c>
    </row>
    <row r="14" spans="1:8">
      <c r="A14" s="66" t="s">
        <v>67</v>
      </c>
      <c r="B14" s="71">
        <v>2010</v>
      </c>
      <c r="C14" s="72">
        <v>30181.66015625</v>
      </c>
      <c r="D14" s="75">
        <v>33.799999999999997</v>
      </c>
      <c r="E14" s="72">
        <v>2163.469970703125</v>
      </c>
      <c r="F14" s="75">
        <v>35.700000000000003</v>
      </c>
      <c r="G14" s="72">
        <v>28305.099609375</v>
      </c>
      <c r="H14" s="75">
        <v>33.700000000000003</v>
      </c>
    </row>
    <row r="15" spans="1:8">
      <c r="A15" s="66" t="s">
        <v>67</v>
      </c>
      <c r="B15" s="71">
        <v>2011</v>
      </c>
      <c r="C15" s="72">
        <v>30580.939453125</v>
      </c>
      <c r="D15" s="75">
        <v>33.4</v>
      </c>
      <c r="E15" s="72">
        <v>2188.52001953125</v>
      </c>
      <c r="F15" s="75">
        <v>35.299999999999997</v>
      </c>
      <c r="G15" s="72">
        <v>28682.900390625</v>
      </c>
      <c r="H15" s="75">
        <v>33.299999999999997</v>
      </c>
    </row>
    <row r="16" spans="1:8">
      <c r="A16" s="66" t="s">
        <v>67</v>
      </c>
      <c r="B16" s="71">
        <v>2012</v>
      </c>
      <c r="C16" s="72">
        <v>31028.25</v>
      </c>
      <c r="D16" s="75">
        <v>33.200000000000003</v>
      </c>
      <c r="E16" s="72">
        <v>2212.6201171875</v>
      </c>
      <c r="F16" s="75">
        <v>35.1</v>
      </c>
      <c r="G16" s="72">
        <v>29109.69921875</v>
      </c>
      <c r="H16" s="75">
        <v>33.1</v>
      </c>
    </row>
    <row r="17" spans="1:8">
      <c r="A17" s="66" t="s">
        <v>67</v>
      </c>
      <c r="B17" s="71">
        <v>2013</v>
      </c>
      <c r="C17" s="72">
        <v>31560.76953125</v>
      </c>
      <c r="D17" s="75">
        <v>33.1</v>
      </c>
      <c r="E17" s="72">
        <v>2236.72998046875</v>
      </c>
      <c r="F17" s="75">
        <v>35</v>
      </c>
      <c r="G17" s="72">
        <v>29614.80078125</v>
      </c>
      <c r="H17" s="75">
        <v>32.9</v>
      </c>
    </row>
    <row r="18" spans="1:8">
      <c r="A18" s="66" t="s">
        <v>67</v>
      </c>
      <c r="B18" s="71">
        <v>2014</v>
      </c>
      <c r="C18" s="72">
        <v>32069.009765625</v>
      </c>
      <c r="D18" s="75">
        <v>32.9</v>
      </c>
      <c r="E18" s="72">
        <v>2247.47998046875</v>
      </c>
      <c r="F18" s="75">
        <v>34.799999999999997</v>
      </c>
      <c r="G18" s="72">
        <v>30118</v>
      </c>
      <c r="H18" s="75">
        <v>32.799999999999997</v>
      </c>
    </row>
    <row r="19" spans="1:8">
      <c r="A19" s="66" t="s">
        <v>67</v>
      </c>
      <c r="B19" s="71">
        <v>2015</v>
      </c>
      <c r="C19" s="72">
        <v>32576.220703125</v>
      </c>
      <c r="D19" s="75">
        <v>32.799999999999997</v>
      </c>
      <c r="E19" s="72">
        <v>2247.25</v>
      </c>
      <c r="F19" s="75">
        <v>34.5</v>
      </c>
      <c r="G19" s="72">
        <v>30635.30078125</v>
      </c>
      <c r="H19" s="75">
        <v>32.700000000000003</v>
      </c>
    </row>
    <row r="20" spans="1:8">
      <c r="A20" s="66" t="s">
        <v>67</v>
      </c>
      <c r="B20" s="71">
        <v>2016</v>
      </c>
      <c r="C20" s="72">
        <v>33098.6484375</v>
      </c>
      <c r="D20" s="75">
        <v>32.9</v>
      </c>
      <c r="E20" s="72">
        <v>2245.179931640625</v>
      </c>
      <c r="F20" s="75">
        <v>34.4</v>
      </c>
      <c r="G20" s="72">
        <v>31175.69921875</v>
      </c>
      <c r="H20" s="75">
        <v>32.700000000000003</v>
      </c>
    </row>
    <row r="21" spans="1:8">
      <c r="A21" s="66" t="s">
        <v>67</v>
      </c>
      <c r="B21" s="71">
        <v>2017</v>
      </c>
      <c r="C21" s="72">
        <v>33687.390625</v>
      </c>
      <c r="D21" s="75">
        <v>32.9</v>
      </c>
      <c r="E21" s="72">
        <v>2242.7099609375</v>
      </c>
      <c r="F21" s="75">
        <v>34.299999999999997</v>
      </c>
      <c r="G21" s="72">
        <v>31764.400390625</v>
      </c>
      <c r="H21" s="75">
        <v>32.799999999999997</v>
      </c>
    </row>
    <row r="22" spans="1:8">
      <c r="A22" s="66" t="s">
        <v>67</v>
      </c>
      <c r="B22" s="71">
        <v>2018</v>
      </c>
      <c r="C22" s="72">
        <v>34311.16015625</v>
      </c>
      <c r="D22" s="75">
        <v>33</v>
      </c>
      <c r="E22" s="72">
        <v>2237.47998046875</v>
      </c>
      <c r="F22" s="75">
        <v>34.200000000000003</v>
      </c>
      <c r="G22" s="72">
        <v>32432.5</v>
      </c>
      <c r="H22" s="75">
        <v>33</v>
      </c>
    </row>
    <row r="23" spans="1:8">
      <c r="A23" s="66" t="s">
        <v>67</v>
      </c>
      <c r="B23" s="71">
        <v>2019</v>
      </c>
      <c r="C23" s="72">
        <v>35007.26953125</v>
      </c>
      <c r="D23" s="75">
        <v>33.200000000000003</v>
      </c>
      <c r="E23" s="72">
        <v>2234.2099609375</v>
      </c>
      <c r="F23" s="75">
        <v>34.200000000000003</v>
      </c>
      <c r="G23" s="72">
        <v>33128.80078125</v>
      </c>
      <c r="H23" s="75">
        <v>33.1</v>
      </c>
    </row>
    <row r="24" spans="1:8">
      <c r="A24" s="66" t="s">
        <v>144</v>
      </c>
      <c r="B24" s="71">
        <v>2000</v>
      </c>
      <c r="C24" s="72">
        <v>2041.1800537109375</v>
      </c>
      <c r="D24" s="75">
        <v>31.2</v>
      </c>
      <c r="E24" s="72">
        <v>148.3699951171875</v>
      </c>
      <c r="F24" s="75">
        <v>32.5</v>
      </c>
      <c r="G24" s="72">
        <v>1892.5</v>
      </c>
      <c r="H24" s="75">
        <v>31.1</v>
      </c>
    </row>
    <row r="25" spans="1:8">
      <c r="A25" s="66" t="s">
        <v>144</v>
      </c>
      <c r="B25" s="71">
        <v>2001</v>
      </c>
      <c r="C25" s="72">
        <v>2080.429931640625</v>
      </c>
      <c r="D25" s="75">
        <v>30.5</v>
      </c>
      <c r="E25" s="72">
        <v>146.83000183105469</v>
      </c>
      <c r="F25" s="75">
        <v>31.9</v>
      </c>
      <c r="G25" s="72">
        <v>1929.800048828125</v>
      </c>
      <c r="H25" s="75">
        <v>30.4</v>
      </c>
    </row>
    <row r="26" spans="1:8">
      <c r="A26" s="66" t="s">
        <v>144</v>
      </c>
      <c r="B26" s="71">
        <v>2002</v>
      </c>
      <c r="C26" s="72">
        <v>2122.43994140625</v>
      </c>
      <c r="D26" s="75">
        <v>29.9</v>
      </c>
      <c r="E26" s="72">
        <v>146.30999755859375</v>
      </c>
      <c r="F26" s="75">
        <v>31.4</v>
      </c>
      <c r="G26" s="72">
        <v>1977.300048828125</v>
      </c>
      <c r="H26" s="75">
        <v>29.8</v>
      </c>
    </row>
    <row r="27" spans="1:8">
      <c r="A27" s="66" t="s">
        <v>144</v>
      </c>
      <c r="B27" s="71">
        <v>2003</v>
      </c>
      <c r="C27" s="72">
        <v>2175.719970703125</v>
      </c>
      <c r="D27" s="75">
        <v>29.5</v>
      </c>
      <c r="E27" s="72">
        <v>146.47000122070313</v>
      </c>
      <c r="F27" s="75">
        <v>31</v>
      </c>
      <c r="G27" s="72">
        <v>2029.5999755859375</v>
      </c>
      <c r="H27" s="75">
        <v>29.4</v>
      </c>
    </row>
    <row r="28" spans="1:8">
      <c r="A28" s="66" t="s">
        <v>144</v>
      </c>
      <c r="B28" s="71">
        <v>2004</v>
      </c>
      <c r="C28" s="72">
        <v>2232.419921875</v>
      </c>
      <c r="D28" s="75">
        <v>29.1</v>
      </c>
      <c r="E28" s="72">
        <v>147.10000610351563</v>
      </c>
      <c r="F28" s="75">
        <v>30.6</v>
      </c>
      <c r="G28" s="72">
        <v>2090.699951171875</v>
      </c>
      <c r="H28" s="75">
        <v>29</v>
      </c>
    </row>
    <row r="29" spans="1:8">
      <c r="A29" s="66" t="s">
        <v>144</v>
      </c>
      <c r="B29" s="71">
        <v>2005</v>
      </c>
      <c r="C29" s="72">
        <v>2295.6298828125</v>
      </c>
      <c r="D29" s="75">
        <v>28.6</v>
      </c>
      <c r="E29" s="72">
        <v>147.91999816894531</v>
      </c>
      <c r="F29" s="75">
        <v>30.1</v>
      </c>
      <c r="G29" s="72">
        <v>2146.5</v>
      </c>
      <c r="H29" s="75">
        <v>28.5</v>
      </c>
    </row>
    <row r="30" spans="1:8">
      <c r="A30" s="66" t="s">
        <v>144</v>
      </c>
      <c r="B30" s="71">
        <v>2006</v>
      </c>
      <c r="C30" s="72">
        <v>2376.0400390625</v>
      </c>
      <c r="D30" s="75">
        <v>28.1</v>
      </c>
      <c r="E30" s="72">
        <v>148.6300048828125</v>
      </c>
      <c r="F30" s="75">
        <v>29.6</v>
      </c>
      <c r="G30" s="72">
        <v>2230.60009765625</v>
      </c>
      <c r="H30" s="75">
        <v>28</v>
      </c>
    </row>
    <row r="31" spans="1:8">
      <c r="A31" s="66" t="s">
        <v>144</v>
      </c>
      <c r="B31" s="71">
        <v>2007</v>
      </c>
      <c r="C31" s="72">
        <v>2461.260009765625</v>
      </c>
      <c r="D31" s="75">
        <v>27.6</v>
      </c>
      <c r="E31" s="72">
        <v>149.08999633789063</v>
      </c>
      <c r="F31" s="75">
        <v>29.1</v>
      </c>
      <c r="G31" s="72">
        <v>2311</v>
      </c>
      <c r="H31" s="75">
        <v>27.5</v>
      </c>
    </row>
    <row r="32" spans="1:8">
      <c r="A32" s="66" t="s">
        <v>144</v>
      </c>
      <c r="B32" s="71">
        <v>2008</v>
      </c>
      <c r="C32" s="72">
        <v>2545.260009765625</v>
      </c>
      <c r="D32" s="75">
        <v>27</v>
      </c>
      <c r="E32" s="72">
        <v>149.50999450683594</v>
      </c>
      <c r="F32" s="75">
        <v>28.5</v>
      </c>
      <c r="G32" s="72">
        <v>2392.39990234375</v>
      </c>
      <c r="H32" s="75">
        <v>26.9</v>
      </c>
    </row>
    <row r="33" spans="1:8">
      <c r="A33" s="66" t="s">
        <v>144</v>
      </c>
      <c r="B33" s="71">
        <v>2009</v>
      </c>
      <c r="C33" s="72">
        <v>2634.469970703125</v>
      </c>
      <c r="D33" s="75">
        <v>26.6</v>
      </c>
      <c r="E33" s="72">
        <v>150.16000366210938</v>
      </c>
      <c r="F33" s="75">
        <v>28.1</v>
      </c>
      <c r="G33" s="72">
        <v>2485.10009765625</v>
      </c>
      <c r="H33" s="75">
        <v>26.5</v>
      </c>
    </row>
    <row r="34" spans="1:8">
      <c r="A34" s="66" t="s">
        <v>144</v>
      </c>
      <c r="B34" s="71">
        <v>2010</v>
      </c>
      <c r="C34" s="72">
        <v>2715.02001953125</v>
      </c>
      <c r="D34" s="75">
        <v>26.1</v>
      </c>
      <c r="E34" s="72">
        <v>150.33999633789063</v>
      </c>
      <c r="F34" s="75">
        <v>27.7</v>
      </c>
      <c r="G34" s="72">
        <v>2563.89990234375</v>
      </c>
      <c r="H34" s="75">
        <v>26</v>
      </c>
    </row>
    <row r="35" spans="1:8">
      <c r="A35" s="66" t="s">
        <v>144</v>
      </c>
      <c r="B35" s="71">
        <v>2011</v>
      </c>
      <c r="C35" s="72">
        <v>2822.969970703125</v>
      </c>
      <c r="D35" s="75">
        <v>25.9</v>
      </c>
      <c r="E35" s="72">
        <v>151.02000427246094</v>
      </c>
      <c r="F35" s="75">
        <v>27.4</v>
      </c>
      <c r="G35" s="72">
        <v>2672.800048828125</v>
      </c>
      <c r="H35" s="75">
        <v>25.8</v>
      </c>
    </row>
    <row r="36" spans="1:8">
      <c r="A36" s="66" t="s">
        <v>144</v>
      </c>
      <c r="B36" s="71">
        <v>2012</v>
      </c>
      <c r="C36" s="72">
        <v>2931.050048828125</v>
      </c>
      <c r="D36" s="75">
        <v>25.7</v>
      </c>
      <c r="E36" s="72">
        <v>151.39999389648438</v>
      </c>
      <c r="F36" s="75">
        <v>27.2</v>
      </c>
      <c r="G36" s="72">
        <v>2776.10009765625</v>
      </c>
      <c r="H36" s="75">
        <v>25.6</v>
      </c>
    </row>
    <row r="37" spans="1:8">
      <c r="A37" s="66" t="s">
        <v>144</v>
      </c>
      <c r="B37" s="71">
        <v>2013</v>
      </c>
      <c r="C37" s="72">
        <v>3040.25</v>
      </c>
      <c r="D37" s="75">
        <v>25.6</v>
      </c>
      <c r="E37" s="72">
        <v>151.69000244140625</v>
      </c>
      <c r="F37" s="75">
        <v>27</v>
      </c>
      <c r="G37" s="72">
        <v>2885.300048828125</v>
      </c>
      <c r="H37" s="75">
        <v>25.6</v>
      </c>
    </row>
    <row r="38" spans="1:8">
      <c r="A38" s="66" t="s">
        <v>144</v>
      </c>
      <c r="B38" s="71">
        <v>2014</v>
      </c>
      <c r="C38" s="72">
        <v>3151</v>
      </c>
      <c r="D38" s="75">
        <v>25.7</v>
      </c>
      <c r="E38" s="72">
        <v>151.95999145507813</v>
      </c>
      <c r="F38" s="75">
        <v>26.9</v>
      </c>
      <c r="G38" s="72">
        <v>2996.300048828125</v>
      </c>
      <c r="H38" s="75">
        <v>25.7</v>
      </c>
    </row>
    <row r="39" spans="1:8">
      <c r="A39" s="66" t="s">
        <v>144</v>
      </c>
      <c r="B39" s="71">
        <v>2015</v>
      </c>
      <c r="C39" s="72">
        <v>3256.39990234375</v>
      </c>
      <c r="D39" s="75">
        <v>25.9</v>
      </c>
      <c r="E39" s="72">
        <v>152.05999755859375</v>
      </c>
      <c r="F39" s="75">
        <v>26.9</v>
      </c>
      <c r="G39" s="72">
        <v>3102</v>
      </c>
      <c r="H39" s="75">
        <v>25.8</v>
      </c>
    </row>
    <row r="40" spans="1:8">
      <c r="A40" s="66" t="s">
        <v>144</v>
      </c>
      <c r="B40" s="71">
        <v>2016</v>
      </c>
      <c r="C40" s="72">
        <v>3340</v>
      </c>
      <c r="D40" s="75">
        <v>26.1</v>
      </c>
      <c r="E40" s="72">
        <v>151.88999938964844</v>
      </c>
      <c r="F40" s="75">
        <v>26.9</v>
      </c>
      <c r="G40" s="72">
        <v>3187</v>
      </c>
      <c r="H40" s="75">
        <v>26</v>
      </c>
    </row>
    <row r="41" spans="1:8">
      <c r="A41" s="66" t="s">
        <v>144</v>
      </c>
      <c r="B41" s="71">
        <v>2017</v>
      </c>
      <c r="C41" s="72">
        <v>3426.300048828125</v>
      </c>
      <c r="D41" s="75">
        <v>26.4</v>
      </c>
      <c r="E41" s="72">
        <v>151.61000061035156</v>
      </c>
      <c r="F41" s="75">
        <v>27</v>
      </c>
      <c r="G41" s="72">
        <v>3272</v>
      </c>
      <c r="H41" s="75">
        <v>26.4</v>
      </c>
    </row>
    <row r="42" spans="1:8">
      <c r="A42" s="66" t="s">
        <v>144</v>
      </c>
      <c r="B42" s="71">
        <v>2018</v>
      </c>
      <c r="C42" s="72">
        <v>3499.800048828125</v>
      </c>
      <c r="D42" s="75">
        <v>26.7</v>
      </c>
      <c r="E42" s="72">
        <v>150.50999450683594</v>
      </c>
      <c r="F42" s="75">
        <v>27</v>
      </c>
      <c r="G42" s="72">
        <v>3354</v>
      </c>
      <c r="H42" s="75">
        <v>26.7</v>
      </c>
    </row>
    <row r="43" spans="1:8">
      <c r="A43" s="66" t="s">
        <v>144</v>
      </c>
      <c r="B43" s="71">
        <v>2019</v>
      </c>
      <c r="C43" s="72">
        <v>3577.800048828125</v>
      </c>
      <c r="D43" s="75">
        <v>27.1</v>
      </c>
      <c r="E43" s="72">
        <v>149.44999694824219</v>
      </c>
      <c r="F43" s="75">
        <v>27.1</v>
      </c>
      <c r="G43" s="72">
        <v>3428</v>
      </c>
      <c r="H43" s="75">
        <v>27.1</v>
      </c>
    </row>
    <row r="44" spans="1:8">
      <c r="A44" s="66" t="s">
        <v>119</v>
      </c>
      <c r="B44" s="71">
        <v>2000</v>
      </c>
      <c r="C44" s="72">
        <v>7151.7001953125</v>
      </c>
      <c r="D44" s="75">
        <v>35.6</v>
      </c>
      <c r="E44" s="72">
        <v>350.58999633789063</v>
      </c>
      <c r="F44" s="75">
        <v>36.200000000000003</v>
      </c>
      <c r="G44" s="72">
        <v>6807</v>
      </c>
      <c r="H44" s="75">
        <v>35.5</v>
      </c>
    </row>
    <row r="45" spans="1:8">
      <c r="A45" s="66" t="s">
        <v>119</v>
      </c>
      <c r="B45" s="71">
        <v>2001</v>
      </c>
      <c r="C45" s="72">
        <v>7222.89990234375</v>
      </c>
      <c r="D45" s="75">
        <v>35</v>
      </c>
      <c r="E45" s="72">
        <v>346.5999755859375</v>
      </c>
      <c r="F45" s="75">
        <v>35.9</v>
      </c>
      <c r="G45" s="72">
        <v>6884</v>
      </c>
      <c r="H45" s="75">
        <v>35</v>
      </c>
    </row>
    <row r="46" spans="1:8">
      <c r="A46" s="66" t="s">
        <v>119</v>
      </c>
      <c r="B46" s="71">
        <v>2002</v>
      </c>
      <c r="C46" s="72">
        <v>7291</v>
      </c>
      <c r="D46" s="75">
        <v>34.6</v>
      </c>
      <c r="E46" s="72">
        <v>345.6199951171875</v>
      </c>
      <c r="F46" s="75">
        <v>35.6</v>
      </c>
      <c r="G46" s="72">
        <v>6944</v>
      </c>
      <c r="H46" s="75">
        <v>34.5</v>
      </c>
    </row>
    <row r="47" spans="1:8">
      <c r="A47" s="66" t="s">
        <v>119</v>
      </c>
      <c r="B47" s="71">
        <v>2003</v>
      </c>
      <c r="C47" s="72">
        <v>7364.89990234375</v>
      </c>
      <c r="D47" s="75">
        <v>34.200000000000003</v>
      </c>
      <c r="E47" s="72">
        <v>347.80999755859375</v>
      </c>
      <c r="F47" s="75">
        <v>35.299999999999997</v>
      </c>
      <c r="G47" s="72">
        <v>7017</v>
      </c>
      <c r="H47" s="75">
        <v>34.200000000000003</v>
      </c>
    </row>
    <row r="48" spans="1:8">
      <c r="A48" s="66" t="s">
        <v>119</v>
      </c>
      <c r="B48" s="71">
        <v>2004</v>
      </c>
      <c r="C48" s="72">
        <v>7440.10009765625</v>
      </c>
      <c r="D48" s="75">
        <v>33.9</v>
      </c>
      <c r="E48" s="72">
        <v>352.30999755859375</v>
      </c>
      <c r="F48" s="75">
        <v>35.1</v>
      </c>
      <c r="G48" s="72">
        <v>7088</v>
      </c>
      <c r="H48" s="75">
        <v>33.9</v>
      </c>
    </row>
    <row r="49" spans="1:8">
      <c r="A49" s="66" t="s">
        <v>119</v>
      </c>
      <c r="B49" s="71">
        <v>2005</v>
      </c>
      <c r="C49" s="72">
        <v>7498.2998046875</v>
      </c>
      <c r="D49" s="75">
        <v>33.6</v>
      </c>
      <c r="E49" s="72">
        <v>358.29998779296875</v>
      </c>
      <c r="F49" s="75">
        <v>34.9</v>
      </c>
      <c r="G49" s="72">
        <v>7145</v>
      </c>
      <c r="H49" s="75">
        <v>33.5</v>
      </c>
    </row>
    <row r="50" spans="1:8">
      <c r="A50" s="66" t="s">
        <v>119</v>
      </c>
      <c r="B50" s="71">
        <v>2006</v>
      </c>
      <c r="C50" s="72">
        <v>7534.89990234375</v>
      </c>
      <c r="D50" s="75">
        <v>33.200000000000003</v>
      </c>
      <c r="E50" s="72">
        <v>365.52999877929688</v>
      </c>
      <c r="F50" s="75">
        <v>34.5</v>
      </c>
      <c r="G50" s="72">
        <v>7179</v>
      </c>
      <c r="H50" s="75">
        <v>33.1</v>
      </c>
    </row>
    <row r="51" spans="1:8">
      <c r="A51" s="66" t="s">
        <v>119</v>
      </c>
      <c r="B51" s="71">
        <v>2007</v>
      </c>
      <c r="C51" s="72">
        <v>7556.60009765625</v>
      </c>
      <c r="D51" s="75">
        <v>32.700000000000003</v>
      </c>
      <c r="E51" s="72">
        <v>373.3900146484375</v>
      </c>
      <c r="F51" s="75">
        <v>34.200000000000003</v>
      </c>
      <c r="G51" s="72">
        <v>7187</v>
      </c>
      <c r="H51" s="75">
        <v>32.700000000000003</v>
      </c>
    </row>
    <row r="52" spans="1:8">
      <c r="A52" s="66" t="s">
        <v>119</v>
      </c>
      <c r="B52" s="71">
        <v>2008</v>
      </c>
      <c r="C52" s="72">
        <v>7567.7001953125</v>
      </c>
      <c r="D52" s="75">
        <v>32.299999999999997</v>
      </c>
      <c r="E52" s="72">
        <v>381.8699951171875</v>
      </c>
      <c r="F52" s="75">
        <v>33.9</v>
      </c>
      <c r="G52" s="72">
        <v>7185</v>
      </c>
      <c r="H52" s="75">
        <v>32.200000000000003</v>
      </c>
    </row>
    <row r="53" spans="1:8">
      <c r="A53" s="66" t="s">
        <v>119</v>
      </c>
      <c r="B53" s="71">
        <v>2009</v>
      </c>
      <c r="C53" s="72">
        <v>7573.10009765625</v>
      </c>
      <c r="D53" s="75">
        <v>31.9</v>
      </c>
      <c r="E53" s="72">
        <v>390.3599853515625</v>
      </c>
      <c r="F53" s="75">
        <v>33.6</v>
      </c>
      <c r="G53" s="72">
        <v>7188</v>
      </c>
      <c r="H53" s="75">
        <v>31.8</v>
      </c>
    </row>
    <row r="54" spans="1:8">
      <c r="A54" s="66" t="s">
        <v>119</v>
      </c>
      <c r="B54" s="71">
        <v>2010</v>
      </c>
      <c r="C54" s="72">
        <v>7572.10009765625</v>
      </c>
      <c r="D54" s="75">
        <v>31.5</v>
      </c>
      <c r="E54" s="72">
        <v>398.41000366210938</v>
      </c>
      <c r="F54" s="75">
        <v>33.299999999999997</v>
      </c>
      <c r="G54" s="72">
        <v>7170</v>
      </c>
      <c r="H54" s="75">
        <v>31.5</v>
      </c>
    </row>
    <row r="55" spans="1:8">
      <c r="A55" s="66" t="s">
        <v>119</v>
      </c>
      <c r="B55" s="71">
        <v>2011</v>
      </c>
      <c r="C55" s="72">
        <v>7574.39990234375</v>
      </c>
      <c r="D55" s="75">
        <v>31.3</v>
      </c>
      <c r="E55" s="72">
        <v>405.75</v>
      </c>
      <c r="F55" s="75">
        <v>33.1</v>
      </c>
      <c r="G55" s="72">
        <v>7175</v>
      </c>
      <c r="H55" s="75">
        <v>31.2</v>
      </c>
    </row>
    <row r="56" spans="1:8">
      <c r="A56" s="66" t="s">
        <v>119</v>
      </c>
      <c r="B56" s="71">
        <v>2012</v>
      </c>
      <c r="C56" s="72">
        <v>7590.10009765625</v>
      </c>
      <c r="D56" s="75">
        <v>31.1</v>
      </c>
      <c r="E56" s="72">
        <v>412.1400146484375</v>
      </c>
      <c r="F56" s="75">
        <v>33</v>
      </c>
      <c r="G56" s="72">
        <v>7179</v>
      </c>
      <c r="H56" s="75">
        <v>31</v>
      </c>
    </row>
    <row r="57" spans="1:8">
      <c r="A57" s="66" t="s">
        <v>119</v>
      </c>
      <c r="B57" s="71">
        <v>2013</v>
      </c>
      <c r="C57" s="72">
        <v>7616.5</v>
      </c>
      <c r="D57" s="75">
        <v>31</v>
      </c>
      <c r="E57" s="72">
        <v>417.3699951171875</v>
      </c>
      <c r="F57" s="75">
        <v>32.9</v>
      </c>
      <c r="G57" s="72">
        <v>7194</v>
      </c>
      <c r="H57" s="75">
        <v>30.9</v>
      </c>
    </row>
    <row r="58" spans="1:8">
      <c r="A58" s="66" t="s">
        <v>119</v>
      </c>
      <c r="B58" s="71">
        <v>2014</v>
      </c>
      <c r="C58" s="72">
        <v>7649.39990234375</v>
      </c>
      <c r="D58" s="75">
        <v>31</v>
      </c>
      <c r="E58" s="72">
        <v>420.99002075195313</v>
      </c>
      <c r="F58" s="75">
        <v>32.799999999999997</v>
      </c>
      <c r="G58" s="72">
        <v>7232</v>
      </c>
      <c r="H58" s="75">
        <v>30.9</v>
      </c>
    </row>
    <row r="59" spans="1:8">
      <c r="A59" s="66" t="s">
        <v>119</v>
      </c>
      <c r="B59" s="71">
        <v>2015</v>
      </c>
      <c r="C59" s="72">
        <v>7695.2001953125</v>
      </c>
      <c r="D59" s="75">
        <v>31</v>
      </c>
      <c r="E59" s="72">
        <v>422.5</v>
      </c>
      <c r="F59" s="75">
        <v>32.700000000000003</v>
      </c>
      <c r="G59" s="72">
        <v>7270</v>
      </c>
      <c r="H59" s="75">
        <v>30.9</v>
      </c>
    </row>
    <row r="60" spans="1:8">
      <c r="A60" s="66" t="s">
        <v>119</v>
      </c>
      <c r="B60" s="71">
        <v>2016</v>
      </c>
      <c r="C60" s="72">
        <v>7763.2001953125</v>
      </c>
      <c r="D60" s="75">
        <v>31.1</v>
      </c>
      <c r="E60" s="72">
        <v>421.69000244140625</v>
      </c>
      <c r="F60" s="75">
        <v>32.700000000000003</v>
      </c>
      <c r="G60" s="72">
        <v>7335</v>
      </c>
      <c r="H60" s="75">
        <v>31</v>
      </c>
    </row>
    <row r="61" spans="1:8">
      <c r="A61" s="66" t="s">
        <v>119</v>
      </c>
      <c r="B61" s="71">
        <v>2017</v>
      </c>
      <c r="C61" s="72">
        <v>7838.60009765625</v>
      </c>
      <c r="D61" s="75">
        <v>31.3</v>
      </c>
      <c r="E61" s="72">
        <v>418.8800048828125</v>
      </c>
      <c r="F61" s="75">
        <v>32.6</v>
      </c>
      <c r="G61" s="72">
        <v>7413</v>
      </c>
      <c r="H61" s="75">
        <v>31.2</v>
      </c>
    </row>
    <row r="62" spans="1:8">
      <c r="A62" s="66" t="s">
        <v>119</v>
      </c>
      <c r="B62" s="71">
        <v>2018</v>
      </c>
      <c r="C62" s="72">
        <v>7922.89990234375</v>
      </c>
      <c r="D62" s="75">
        <v>31.4</v>
      </c>
      <c r="E62" s="72">
        <v>413.94000244140625</v>
      </c>
      <c r="F62" s="75">
        <v>32.5</v>
      </c>
      <c r="G62" s="72">
        <v>7513</v>
      </c>
      <c r="H62" s="75">
        <v>31.4</v>
      </c>
    </row>
    <row r="63" spans="1:8">
      <c r="A63" s="66" t="s">
        <v>119</v>
      </c>
      <c r="B63" s="71">
        <v>2019</v>
      </c>
      <c r="C63" s="72">
        <v>8024.10009765625</v>
      </c>
      <c r="D63" s="75">
        <v>31.7</v>
      </c>
      <c r="E63" s="72">
        <v>408.14999389648438</v>
      </c>
      <c r="F63" s="75">
        <v>32.4</v>
      </c>
      <c r="G63" s="72">
        <v>7614</v>
      </c>
      <c r="H63" s="75">
        <v>31.6</v>
      </c>
    </row>
    <row r="64" spans="1:8">
      <c r="A64" s="66" t="s">
        <v>120</v>
      </c>
      <c r="B64" s="71">
        <v>2000</v>
      </c>
      <c r="C64" s="72">
        <v>10353.7001953125</v>
      </c>
      <c r="D64" s="75">
        <v>36</v>
      </c>
      <c r="E64" s="72">
        <v>715.58001708984375</v>
      </c>
      <c r="F64" s="75">
        <v>33.9</v>
      </c>
      <c r="G64" s="72">
        <v>9869</v>
      </c>
      <c r="H64" s="75">
        <v>36.1</v>
      </c>
    </row>
    <row r="65" spans="1:8">
      <c r="A65" s="66" t="s">
        <v>120</v>
      </c>
      <c r="B65" s="71">
        <v>2001</v>
      </c>
      <c r="C65" s="72">
        <v>10506.900390625</v>
      </c>
      <c r="D65" s="75">
        <v>35.5</v>
      </c>
      <c r="E65" s="72">
        <v>716.19000244140625</v>
      </c>
      <c r="F65" s="75">
        <v>33.6</v>
      </c>
      <c r="G65" s="72">
        <v>10019</v>
      </c>
      <c r="H65" s="75">
        <v>35.6</v>
      </c>
    </row>
    <row r="66" spans="1:8">
      <c r="A66" s="66" t="s">
        <v>120</v>
      </c>
      <c r="B66" s="71">
        <v>2002</v>
      </c>
      <c r="C66" s="72">
        <v>10722.5</v>
      </c>
      <c r="D66" s="75">
        <v>35.200000000000003</v>
      </c>
      <c r="E66" s="72">
        <v>721.28997802734375</v>
      </c>
      <c r="F66" s="75">
        <v>33.5</v>
      </c>
      <c r="G66" s="72">
        <v>10241</v>
      </c>
      <c r="H66" s="75">
        <v>35.299999999999997</v>
      </c>
    </row>
    <row r="67" spans="1:8">
      <c r="A67" s="66" t="s">
        <v>120</v>
      </c>
      <c r="B67" s="71">
        <v>2003</v>
      </c>
      <c r="C67" s="72">
        <v>10959.2001953125</v>
      </c>
      <c r="D67" s="75">
        <v>35</v>
      </c>
      <c r="E67" s="72">
        <v>728.489990234375</v>
      </c>
      <c r="F67" s="75">
        <v>33.4</v>
      </c>
      <c r="G67" s="72">
        <v>10483</v>
      </c>
      <c r="H67" s="75">
        <v>35.1</v>
      </c>
    </row>
    <row r="68" spans="1:8">
      <c r="A68" s="66" t="s">
        <v>120</v>
      </c>
      <c r="B68" s="71">
        <v>2004</v>
      </c>
      <c r="C68" s="72">
        <v>11148.5</v>
      </c>
      <c r="D68" s="75">
        <v>34.6</v>
      </c>
      <c r="E68" s="72">
        <v>733.03997802734375</v>
      </c>
      <c r="F68" s="75">
        <v>33.200000000000003</v>
      </c>
      <c r="G68" s="72">
        <v>10657</v>
      </c>
      <c r="H68" s="75">
        <v>34.700000000000003</v>
      </c>
    </row>
    <row r="69" spans="1:8">
      <c r="A69" s="66" t="s">
        <v>120</v>
      </c>
      <c r="B69" s="71">
        <v>2005</v>
      </c>
      <c r="C69" s="72">
        <v>11317</v>
      </c>
      <c r="D69" s="75">
        <v>34.200000000000003</v>
      </c>
      <c r="E69" s="72">
        <v>739.469970703125</v>
      </c>
      <c r="F69" s="75">
        <v>32.9</v>
      </c>
      <c r="G69" s="72">
        <v>10841</v>
      </c>
      <c r="H69" s="75">
        <v>34.299999999999997</v>
      </c>
    </row>
    <row r="70" spans="1:8">
      <c r="A70" s="66" t="s">
        <v>120</v>
      </c>
      <c r="B70" s="71">
        <v>2006</v>
      </c>
      <c r="C70" s="72">
        <v>11454.099609375</v>
      </c>
      <c r="D70" s="75">
        <v>33.700000000000003</v>
      </c>
      <c r="E70" s="72">
        <v>748.1600341796875</v>
      </c>
      <c r="F70" s="75">
        <v>32.6</v>
      </c>
      <c r="G70" s="72">
        <v>10966</v>
      </c>
      <c r="H70" s="75">
        <v>33.799999999999997</v>
      </c>
    </row>
    <row r="71" spans="1:8">
      <c r="A71" s="66" t="s">
        <v>120</v>
      </c>
      <c r="B71" s="71">
        <v>2007</v>
      </c>
      <c r="C71" s="72">
        <v>11574.5</v>
      </c>
      <c r="D71" s="75">
        <v>33.200000000000003</v>
      </c>
      <c r="E71" s="72">
        <v>760.97998046875</v>
      </c>
      <c r="F71" s="75">
        <v>32.299999999999997</v>
      </c>
      <c r="G71" s="72">
        <v>11076</v>
      </c>
      <c r="H71" s="75">
        <v>33.299999999999997</v>
      </c>
    </row>
    <row r="72" spans="1:8">
      <c r="A72" s="66" t="s">
        <v>120</v>
      </c>
      <c r="B72" s="71">
        <v>2008</v>
      </c>
      <c r="C72" s="72">
        <v>11650.2001953125</v>
      </c>
      <c r="D72" s="75">
        <v>32.700000000000003</v>
      </c>
      <c r="E72" s="72">
        <v>773.510009765625</v>
      </c>
      <c r="F72" s="75">
        <v>31.9</v>
      </c>
      <c r="G72" s="72">
        <v>11148</v>
      </c>
      <c r="H72" s="75">
        <v>32.700000000000003</v>
      </c>
    </row>
    <row r="73" spans="1:8">
      <c r="A73" s="66" t="s">
        <v>120</v>
      </c>
      <c r="B73" s="71">
        <v>2009</v>
      </c>
      <c r="C73" s="72">
        <v>11681.2001953125</v>
      </c>
      <c r="D73" s="75">
        <v>32</v>
      </c>
      <c r="E73" s="72">
        <v>783.219970703125</v>
      </c>
      <c r="F73" s="75">
        <v>31.3</v>
      </c>
      <c r="G73" s="72">
        <v>11175</v>
      </c>
      <c r="H73" s="75">
        <v>32</v>
      </c>
    </row>
    <row r="74" spans="1:8">
      <c r="A74" s="66" t="s">
        <v>120</v>
      </c>
      <c r="B74" s="71">
        <v>2010</v>
      </c>
      <c r="C74" s="72">
        <v>11729.900390625</v>
      </c>
      <c r="D74" s="75">
        <v>31.4</v>
      </c>
      <c r="E74" s="72">
        <v>794.19000244140625</v>
      </c>
      <c r="F74" s="75">
        <v>30.8</v>
      </c>
      <c r="G74" s="72">
        <v>11219</v>
      </c>
      <c r="H74" s="75">
        <v>31.5</v>
      </c>
    </row>
    <row r="75" spans="1:8">
      <c r="A75" s="66" t="s">
        <v>120</v>
      </c>
      <c r="B75" s="71">
        <v>2011</v>
      </c>
      <c r="C75" s="72">
        <v>11828.599609375</v>
      </c>
      <c r="D75" s="75">
        <v>31</v>
      </c>
      <c r="E75" s="72">
        <v>804.1099853515625</v>
      </c>
      <c r="F75" s="75">
        <v>30.4</v>
      </c>
      <c r="G75" s="72">
        <v>11306</v>
      </c>
      <c r="H75" s="75">
        <v>31</v>
      </c>
    </row>
    <row r="76" spans="1:8">
      <c r="A76" s="66" t="s">
        <v>120</v>
      </c>
      <c r="B76" s="71">
        <v>2012</v>
      </c>
      <c r="C76" s="72">
        <v>11936.7998046875</v>
      </c>
      <c r="D76" s="75">
        <v>30.6</v>
      </c>
      <c r="E76" s="72">
        <v>813.45001220703125</v>
      </c>
      <c r="F76" s="75">
        <v>30.1</v>
      </c>
      <c r="G76" s="72">
        <v>11415</v>
      </c>
      <c r="H76" s="75">
        <v>30.6</v>
      </c>
    </row>
    <row r="77" spans="1:8">
      <c r="A77" s="66" t="s">
        <v>120</v>
      </c>
      <c r="B77" s="71">
        <v>2013</v>
      </c>
      <c r="C77" s="72">
        <v>12100.2998046875</v>
      </c>
      <c r="D77" s="75">
        <v>30.4</v>
      </c>
      <c r="E77" s="72">
        <v>824.0899658203125</v>
      </c>
      <c r="F77" s="75">
        <v>30</v>
      </c>
      <c r="G77" s="72">
        <v>11574</v>
      </c>
      <c r="H77" s="75">
        <v>30.4</v>
      </c>
    </row>
    <row r="78" spans="1:8">
      <c r="A78" s="66" t="s">
        <v>120</v>
      </c>
      <c r="B78" s="71">
        <v>2014</v>
      </c>
      <c r="C78" s="72">
        <v>12218</v>
      </c>
      <c r="D78" s="75">
        <v>30.1</v>
      </c>
      <c r="E78" s="72">
        <v>822.8699951171875</v>
      </c>
      <c r="F78" s="75">
        <v>29.7</v>
      </c>
      <c r="G78" s="72">
        <v>11696</v>
      </c>
      <c r="H78" s="75">
        <v>30.1</v>
      </c>
    </row>
    <row r="79" spans="1:8">
      <c r="A79" s="66" t="s">
        <v>120</v>
      </c>
      <c r="B79" s="71">
        <v>2015</v>
      </c>
      <c r="C79" s="72">
        <v>12311.2998046875</v>
      </c>
      <c r="D79" s="75">
        <v>29.8</v>
      </c>
      <c r="E79" s="72">
        <v>812.90997314453125</v>
      </c>
      <c r="F79" s="75">
        <v>29.2</v>
      </c>
      <c r="G79" s="72">
        <v>11806</v>
      </c>
      <c r="H79" s="75">
        <v>29.8</v>
      </c>
    </row>
    <row r="80" spans="1:8">
      <c r="A80" s="66" t="s">
        <v>120</v>
      </c>
      <c r="B80" s="71">
        <v>2016</v>
      </c>
      <c r="C80" s="72">
        <v>12408.900390625</v>
      </c>
      <c r="D80" s="75">
        <v>29.6</v>
      </c>
      <c r="E80" s="72">
        <v>804.19000244140625</v>
      </c>
      <c r="F80" s="75">
        <v>28.9</v>
      </c>
      <c r="G80" s="72">
        <v>11924</v>
      </c>
      <c r="H80" s="75">
        <v>29.6</v>
      </c>
    </row>
    <row r="81" spans="1:8">
      <c r="A81" s="66" t="s">
        <v>120</v>
      </c>
      <c r="B81" s="71">
        <v>2017</v>
      </c>
      <c r="C81" s="72">
        <v>12547.900390625</v>
      </c>
      <c r="D81" s="75">
        <v>29.5</v>
      </c>
      <c r="E81" s="72">
        <v>796.8399658203125</v>
      </c>
      <c r="F81" s="75">
        <v>28.7</v>
      </c>
      <c r="G81" s="72">
        <v>12086</v>
      </c>
      <c r="H81" s="75">
        <v>29.5</v>
      </c>
    </row>
    <row r="82" spans="1:8">
      <c r="A82" s="66" t="s">
        <v>120</v>
      </c>
      <c r="B82" s="71">
        <v>2018</v>
      </c>
      <c r="C82" s="72">
        <v>12713.5</v>
      </c>
      <c r="D82" s="75">
        <v>29.4</v>
      </c>
      <c r="E82" s="72">
        <v>789.8900146484375</v>
      </c>
      <c r="F82" s="75">
        <v>28.6</v>
      </c>
      <c r="G82" s="72">
        <v>12267</v>
      </c>
      <c r="H82" s="75">
        <v>29.5</v>
      </c>
    </row>
    <row r="83" spans="1:8">
      <c r="A83" s="66" t="s">
        <v>120</v>
      </c>
      <c r="B83" s="71">
        <v>2019</v>
      </c>
      <c r="C83" s="72">
        <v>12922.2001953125</v>
      </c>
      <c r="D83" s="75">
        <v>29.4</v>
      </c>
      <c r="E83" s="72">
        <v>785.8499755859375</v>
      </c>
      <c r="F83" s="75">
        <v>28.5</v>
      </c>
      <c r="G83" s="72">
        <v>12493</v>
      </c>
      <c r="H83" s="75">
        <v>29.5</v>
      </c>
    </row>
    <row r="84" spans="1:8">
      <c r="A84" s="66" t="s">
        <v>121</v>
      </c>
      <c r="B84" s="71">
        <v>2000</v>
      </c>
      <c r="C84" s="72">
        <v>6479.22021484375</v>
      </c>
      <c r="D84" s="75">
        <v>50.5</v>
      </c>
      <c r="E84" s="72">
        <v>744.59002685546875</v>
      </c>
      <c r="F84" s="75">
        <v>49.7</v>
      </c>
      <c r="G84" s="72">
        <v>5738.2998046875</v>
      </c>
      <c r="H84" s="75">
        <v>50.5</v>
      </c>
    </row>
    <row r="85" spans="1:8">
      <c r="A85" s="66" t="s">
        <v>121</v>
      </c>
      <c r="B85" s="71">
        <v>2001</v>
      </c>
      <c r="C85" s="72">
        <v>6619.72021484375</v>
      </c>
      <c r="D85" s="75">
        <v>50</v>
      </c>
      <c r="E85" s="72">
        <v>752.14996337890625</v>
      </c>
      <c r="F85" s="75">
        <v>49.4</v>
      </c>
      <c r="G85" s="72">
        <v>5865.10009765625</v>
      </c>
      <c r="H85" s="75">
        <v>50</v>
      </c>
    </row>
    <row r="86" spans="1:8">
      <c r="A86" s="66" t="s">
        <v>121</v>
      </c>
      <c r="B86" s="71">
        <v>2002</v>
      </c>
      <c r="C86" s="72">
        <v>6776.35986328125</v>
      </c>
      <c r="D86" s="75">
        <v>49.6</v>
      </c>
      <c r="E86" s="72">
        <v>760.55999755859375</v>
      </c>
      <c r="F86" s="75">
        <v>49.2</v>
      </c>
      <c r="G86" s="72">
        <v>6015.60009765625</v>
      </c>
      <c r="H86" s="75">
        <v>49.6</v>
      </c>
    </row>
    <row r="87" spans="1:8">
      <c r="A87" s="66" t="s">
        <v>121</v>
      </c>
      <c r="B87" s="71">
        <v>2003</v>
      </c>
      <c r="C87" s="72">
        <v>6951.580078125</v>
      </c>
      <c r="D87" s="75">
        <v>49.3</v>
      </c>
      <c r="E87" s="72">
        <v>769.260009765625</v>
      </c>
      <c r="F87" s="75">
        <v>49</v>
      </c>
      <c r="G87" s="72">
        <v>6177</v>
      </c>
      <c r="H87" s="75">
        <v>49.3</v>
      </c>
    </row>
    <row r="88" spans="1:8">
      <c r="A88" s="66" t="s">
        <v>121</v>
      </c>
      <c r="B88" s="71">
        <v>2004</v>
      </c>
      <c r="C88" s="72">
        <v>7137.76025390625</v>
      </c>
      <c r="D88" s="75">
        <v>49</v>
      </c>
      <c r="E88" s="72">
        <v>778.1500244140625</v>
      </c>
      <c r="F88" s="75">
        <v>48.8</v>
      </c>
      <c r="G88" s="72">
        <v>6361</v>
      </c>
      <c r="H88" s="75">
        <v>49</v>
      </c>
    </row>
    <row r="89" spans="1:8">
      <c r="A89" s="66" t="s">
        <v>121</v>
      </c>
      <c r="B89" s="71">
        <v>2005</v>
      </c>
      <c r="C89" s="72">
        <v>7321.0498046875</v>
      </c>
      <c r="D89" s="75">
        <v>48.7</v>
      </c>
      <c r="E89" s="72">
        <v>786.21002197265625</v>
      </c>
      <c r="F89" s="75">
        <v>48.6</v>
      </c>
      <c r="G89" s="72">
        <v>6534.60009765625</v>
      </c>
      <c r="H89" s="75">
        <v>48.7</v>
      </c>
    </row>
    <row r="90" spans="1:8">
      <c r="A90" s="66" t="s">
        <v>121</v>
      </c>
      <c r="B90" s="71">
        <v>2006</v>
      </c>
      <c r="C90" s="72">
        <v>7485.75</v>
      </c>
      <c r="D90" s="75">
        <v>48.3</v>
      </c>
      <c r="E90" s="72">
        <v>793.54998779296875</v>
      </c>
      <c r="F90" s="75">
        <v>48.4</v>
      </c>
      <c r="G90" s="72">
        <v>6691.5</v>
      </c>
      <c r="H90" s="75">
        <v>48.3</v>
      </c>
    </row>
    <row r="91" spans="1:8">
      <c r="A91" s="66" t="s">
        <v>121</v>
      </c>
      <c r="B91" s="71">
        <v>2007</v>
      </c>
      <c r="C91" s="72">
        <v>7648.3798828125</v>
      </c>
      <c r="D91" s="75">
        <v>47.9</v>
      </c>
      <c r="E91" s="72">
        <v>800.4599609375</v>
      </c>
      <c r="F91" s="75">
        <v>48.1</v>
      </c>
      <c r="G91" s="72">
        <v>6847.5</v>
      </c>
      <c r="H91" s="75">
        <v>47.8</v>
      </c>
    </row>
    <row r="92" spans="1:8">
      <c r="A92" s="66" t="s">
        <v>121</v>
      </c>
      <c r="B92" s="71">
        <v>2008</v>
      </c>
      <c r="C92" s="72">
        <v>7812.4501953125</v>
      </c>
      <c r="D92" s="75">
        <v>47.4</v>
      </c>
      <c r="E92" s="72">
        <v>806.96002197265625</v>
      </c>
      <c r="F92" s="75">
        <v>47.8</v>
      </c>
      <c r="G92" s="72">
        <v>7003.10009765625</v>
      </c>
      <c r="H92" s="75">
        <v>47.4</v>
      </c>
    </row>
    <row r="93" spans="1:8">
      <c r="A93" s="66" t="s">
        <v>121</v>
      </c>
      <c r="B93" s="71">
        <v>2009</v>
      </c>
      <c r="C93" s="72">
        <v>7984.81982421875</v>
      </c>
      <c r="D93" s="75">
        <v>47</v>
      </c>
      <c r="E93" s="72">
        <v>813.71002197265625</v>
      </c>
      <c r="F93" s="75">
        <v>47.5</v>
      </c>
      <c r="G93" s="72">
        <v>7169.89990234375</v>
      </c>
      <c r="H93" s="75">
        <v>47</v>
      </c>
    </row>
    <row r="94" spans="1:8">
      <c r="A94" s="66" t="s">
        <v>121</v>
      </c>
      <c r="B94" s="71">
        <v>2010</v>
      </c>
      <c r="C94" s="72">
        <v>8164.64013671875</v>
      </c>
      <c r="D94" s="75">
        <v>46.6</v>
      </c>
      <c r="E94" s="72">
        <v>820.52996826171875</v>
      </c>
      <c r="F94" s="75">
        <v>47.3</v>
      </c>
      <c r="G94" s="72">
        <v>7352.2001953125</v>
      </c>
      <c r="H94" s="75">
        <v>46.6</v>
      </c>
    </row>
    <row r="95" spans="1:8">
      <c r="A95" s="66" t="s">
        <v>121</v>
      </c>
      <c r="B95" s="71">
        <v>2011</v>
      </c>
      <c r="C95" s="72">
        <v>8354.9697265625</v>
      </c>
      <c r="D95" s="75">
        <v>46.3</v>
      </c>
      <c r="E95" s="72">
        <v>827.6400146484375</v>
      </c>
      <c r="F95" s="75">
        <v>47.1</v>
      </c>
      <c r="G95" s="72">
        <v>7529.10009765625</v>
      </c>
      <c r="H95" s="75">
        <v>46.2</v>
      </c>
    </row>
    <row r="96" spans="1:8">
      <c r="A96" s="66" t="s">
        <v>121</v>
      </c>
      <c r="B96" s="71">
        <v>2012</v>
      </c>
      <c r="C96" s="72">
        <v>8570.2998046875</v>
      </c>
      <c r="D96" s="75">
        <v>46.1</v>
      </c>
      <c r="E96" s="72">
        <v>835.6300048828125</v>
      </c>
      <c r="F96" s="75">
        <v>46.9</v>
      </c>
      <c r="G96" s="72">
        <v>7739.60009765625</v>
      </c>
      <c r="H96" s="75">
        <v>46</v>
      </c>
    </row>
    <row r="97" spans="1:8">
      <c r="A97" s="66" t="s">
        <v>121</v>
      </c>
      <c r="B97" s="71">
        <v>2013</v>
      </c>
      <c r="C97" s="72">
        <v>8803.7197265625</v>
      </c>
      <c r="D97" s="75">
        <v>46</v>
      </c>
      <c r="E97" s="72">
        <v>843.58001708984375</v>
      </c>
      <c r="F97" s="75">
        <v>46.7</v>
      </c>
      <c r="G97" s="72">
        <v>7961.5</v>
      </c>
      <c r="H97" s="75">
        <v>45.9</v>
      </c>
    </row>
    <row r="98" spans="1:8">
      <c r="A98" s="66" t="s">
        <v>121</v>
      </c>
      <c r="B98" s="71">
        <v>2014</v>
      </c>
      <c r="C98" s="72">
        <v>9050.6103515625</v>
      </c>
      <c r="D98" s="75">
        <v>45.8</v>
      </c>
      <c r="E98" s="72">
        <v>851.65997314453125</v>
      </c>
      <c r="F98" s="75">
        <v>46.6</v>
      </c>
      <c r="G98" s="72">
        <v>8193.7001953125</v>
      </c>
      <c r="H98" s="75">
        <v>45.8</v>
      </c>
    </row>
    <row r="99" spans="1:8">
      <c r="A99" s="66" t="s">
        <v>121</v>
      </c>
      <c r="B99" s="71">
        <v>2015</v>
      </c>
      <c r="C99" s="72">
        <v>9313.3203125</v>
      </c>
      <c r="D99" s="75">
        <v>45.8</v>
      </c>
      <c r="E99" s="72">
        <v>859.77996826171875</v>
      </c>
      <c r="F99" s="75">
        <v>46.4</v>
      </c>
      <c r="G99" s="72">
        <v>8457.2998046875</v>
      </c>
      <c r="H99" s="75">
        <v>45.7</v>
      </c>
    </row>
    <row r="100" spans="1:8">
      <c r="A100" s="66" t="s">
        <v>121</v>
      </c>
      <c r="B100" s="71">
        <v>2016</v>
      </c>
      <c r="C100" s="72">
        <v>9586.5498046875</v>
      </c>
      <c r="D100" s="75">
        <v>45.8</v>
      </c>
      <c r="E100" s="72">
        <v>867.4100341796875</v>
      </c>
      <c r="F100" s="75">
        <v>46.3</v>
      </c>
      <c r="G100" s="72">
        <v>8729.7001953125</v>
      </c>
      <c r="H100" s="75">
        <v>45.7</v>
      </c>
    </row>
    <row r="101" spans="1:8">
      <c r="A101" s="66" t="s">
        <v>121</v>
      </c>
      <c r="B101" s="71">
        <v>2017</v>
      </c>
      <c r="C101" s="72">
        <v>9874.58984375</v>
      </c>
      <c r="D101" s="75">
        <v>45.8</v>
      </c>
      <c r="E101" s="72">
        <v>875.3800048828125</v>
      </c>
      <c r="F101" s="75">
        <v>46.1</v>
      </c>
      <c r="G101" s="72">
        <v>8993.400390625</v>
      </c>
      <c r="H101" s="75">
        <v>45.8</v>
      </c>
    </row>
    <row r="102" spans="1:8">
      <c r="A102" s="66" t="s">
        <v>121</v>
      </c>
      <c r="B102" s="71">
        <v>2018</v>
      </c>
      <c r="C102" s="72">
        <v>10174.9599609375</v>
      </c>
      <c r="D102" s="75">
        <v>45.8</v>
      </c>
      <c r="E102" s="72">
        <v>883.1400146484375</v>
      </c>
      <c r="F102" s="75">
        <v>45.9</v>
      </c>
      <c r="G102" s="72">
        <v>9298.5</v>
      </c>
      <c r="H102" s="75">
        <v>45.8</v>
      </c>
    </row>
    <row r="103" spans="1:8">
      <c r="A103" s="66" t="s">
        <v>121</v>
      </c>
      <c r="B103" s="71">
        <v>2019</v>
      </c>
      <c r="C103" s="72">
        <v>10483.169921875</v>
      </c>
      <c r="D103" s="75">
        <v>45.9</v>
      </c>
      <c r="E103" s="72">
        <v>890.760009765625</v>
      </c>
      <c r="F103" s="75">
        <v>45.8</v>
      </c>
      <c r="G103" s="72">
        <v>9593.7998046875</v>
      </c>
      <c r="H103" s="75">
        <v>45.9</v>
      </c>
    </row>
  </sheetData>
  <mergeCells count="4">
    <mergeCell ref="C1:H1"/>
    <mergeCell ref="C2:D2"/>
    <mergeCell ref="E2:F2"/>
    <mergeCell ref="G2:H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94D3-6B2D-4791-AA90-8315E9680CDB}">
  <sheetPr codeName="Sheet17">
    <tabColor theme="4" tint="0.39997558519241921"/>
  </sheetPr>
  <dimension ref="A1:E83"/>
  <sheetViews>
    <sheetView showGridLines="0" zoomScale="70" zoomScaleNormal="70" workbookViewId="0">
      <pane xSplit="1" ySplit="2" topLeftCell="B3" activePane="bottomRight" state="frozen"/>
      <selection pane="topRight"/>
      <selection pane="bottomLeft"/>
      <selection pane="bottomRight"/>
    </sheetView>
  </sheetViews>
  <sheetFormatPr defaultRowHeight="14.5"/>
  <cols>
    <col min="1" max="1" width="19.1796875" bestFit="1" customWidth="1"/>
    <col min="2" max="2" width="13.54296875" bestFit="1" customWidth="1"/>
    <col min="3" max="3" width="17.54296875" customWidth="1"/>
    <col min="4" max="4" width="13.453125" style="80" customWidth="1"/>
    <col min="5" max="5" width="17.81640625" customWidth="1"/>
  </cols>
  <sheetData>
    <row r="1" spans="1:5" ht="16">
      <c r="A1" s="63" t="s">
        <v>152</v>
      </c>
      <c r="B1" s="63"/>
      <c r="C1" s="461" t="s">
        <v>158</v>
      </c>
      <c r="D1" s="461"/>
      <c r="E1" s="461"/>
    </row>
    <row r="2" spans="1:5">
      <c r="A2" s="64" t="s">
        <v>4</v>
      </c>
      <c r="B2" s="77" t="s">
        <v>104</v>
      </c>
      <c r="C2" s="78" t="s">
        <v>159</v>
      </c>
      <c r="D2" s="79" t="s">
        <v>112</v>
      </c>
      <c r="E2" s="78" t="s">
        <v>160</v>
      </c>
    </row>
    <row r="3" spans="1:5">
      <c r="A3" s="66" t="s">
        <v>67</v>
      </c>
      <c r="B3" s="66">
        <v>2017</v>
      </c>
      <c r="C3" s="66">
        <v>99.1</v>
      </c>
      <c r="D3" s="73">
        <v>28.891666666666666</v>
      </c>
      <c r="E3" s="66"/>
    </row>
    <row r="4" spans="1:5">
      <c r="A4" s="66" t="s">
        <v>67</v>
      </c>
      <c r="B4" s="66">
        <v>2018</v>
      </c>
      <c r="C4" s="66">
        <v>103.50000000000001</v>
      </c>
      <c r="D4" s="73">
        <v>26.118181818181821</v>
      </c>
      <c r="E4" s="66"/>
    </row>
    <row r="5" spans="1:5">
      <c r="A5" s="66" t="s">
        <v>67</v>
      </c>
      <c r="B5" s="66">
        <v>2019</v>
      </c>
      <c r="C5" s="66">
        <v>102.60000000000001</v>
      </c>
      <c r="D5" s="73">
        <v>26.036363636363639</v>
      </c>
      <c r="E5" s="66"/>
    </row>
    <row r="6" spans="1:5">
      <c r="A6" s="66" t="s">
        <v>67</v>
      </c>
      <c r="B6" s="66">
        <v>2020</v>
      </c>
      <c r="C6" s="66">
        <v>104.39999999999996</v>
      </c>
      <c r="D6" s="73">
        <v>24.733333333333338</v>
      </c>
      <c r="E6" s="66"/>
    </row>
    <row r="7" spans="1:5">
      <c r="A7" s="66" t="s">
        <v>67</v>
      </c>
      <c r="B7" s="66">
        <v>2021</v>
      </c>
      <c r="C7" s="66">
        <v>115.19999999999999</v>
      </c>
      <c r="D7" s="73">
        <v>30.37857142857143</v>
      </c>
      <c r="E7" s="66"/>
    </row>
    <row r="8" spans="1:5">
      <c r="A8" s="258" t="s">
        <v>67</v>
      </c>
      <c r="B8" s="258">
        <v>2022</v>
      </c>
      <c r="C8" s="258">
        <v>96.8</v>
      </c>
      <c r="D8" s="260">
        <v>22.991666666666671</v>
      </c>
      <c r="E8" s="66"/>
    </row>
    <row r="9" spans="1:5">
      <c r="A9" s="66" t="s">
        <v>45</v>
      </c>
      <c r="B9" s="66">
        <v>2017</v>
      </c>
      <c r="C9" s="66">
        <v>7.3</v>
      </c>
      <c r="D9" s="73">
        <v>17.8</v>
      </c>
      <c r="E9" s="66" t="s">
        <v>161</v>
      </c>
    </row>
    <row r="10" spans="1:5">
      <c r="A10" s="66" t="s">
        <v>45</v>
      </c>
      <c r="B10" s="66">
        <v>2018</v>
      </c>
      <c r="C10" s="66">
        <v>7.1</v>
      </c>
      <c r="D10" s="73">
        <v>17</v>
      </c>
      <c r="E10" s="66" t="s">
        <v>161</v>
      </c>
    </row>
    <row r="11" spans="1:5">
      <c r="A11" s="66" t="s">
        <v>45</v>
      </c>
      <c r="B11" s="66">
        <v>2019</v>
      </c>
      <c r="C11" s="66">
        <v>7</v>
      </c>
      <c r="D11" s="73">
        <v>16.399999999999999</v>
      </c>
      <c r="E11" s="66" t="s">
        <v>161</v>
      </c>
    </row>
    <row r="12" spans="1:5">
      <c r="A12" s="66" t="s">
        <v>45</v>
      </c>
      <c r="B12" s="66">
        <v>2020</v>
      </c>
      <c r="C12" s="66">
        <v>7.9</v>
      </c>
      <c r="D12" s="73">
        <v>18.3</v>
      </c>
      <c r="E12" s="66" t="s">
        <v>161</v>
      </c>
    </row>
    <row r="13" spans="1:5">
      <c r="A13" s="66" t="s">
        <v>45</v>
      </c>
      <c r="B13" s="66">
        <v>2021</v>
      </c>
      <c r="C13" s="66">
        <v>8.3000000000000007</v>
      </c>
      <c r="D13" s="73">
        <v>18.7</v>
      </c>
      <c r="E13" s="66" t="s">
        <v>161</v>
      </c>
    </row>
    <row r="14" spans="1:5">
      <c r="A14" s="66" t="s">
        <v>45</v>
      </c>
      <c r="B14" s="66">
        <v>2022</v>
      </c>
      <c r="C14" s="66">
        <v>8.8000000000000007</v>
      </c>
      <c r="D14" s="73">
        <v>19.7</v>
      </c>
      <c r="E14" s="66" t="s">
        <v>161</v>
      </c>
    </row>
    <row r="15" spans="1:5">
      <c r="A15" s="66" t="s">
        <v>40</v>
      </c>
      <c r="B15" s="66">
        <v>2017</v>
      </c>
      <c r="C15" s="66">
        <v>0.5</v>
      </c>
      <c r="D15" s="73">
        <v>63.5</v>
      </c>
      <c r="E15" s="66" t="s">
        <v>161</v>
      </c>
    </row>
    <row r="16" spans="1:5">
      <c r="A16" s="66" t="s">
        <v>40</v>
      </c>
      <c r="B16" s="66">
        <v>2021</v>
      </c>
      <c r="C16" s="66">
        <v>0.5</v>
      </c>
      <c r="D16" s="73">
        <v>60.8</v>
      </c>
      <c r="E16" s="66" t="s">
        <v>161</v>
      </c>
    </row>
    <row r="17" spans="1:5">
      <c r="A17" s="66" t="s">
        <v>34</v>
      </c>
      <c r="B17" s="66">
        <v>2017</v>
      </c>
      <c r="C17" s="66">
        <v>0.6</v>
      </c>
      <c r="D17" s="73">
        <v>54.5</v>
      </c>
      <c r="E17" s="66" t="s">
        <v>161</v>
      </c>
    </row>
    <row r="18" spans="1:5">
      <c r="A18" s="66" t="s">
        <v>34</v>
      </c>
      <c r="B18" s="66">
        <v>2018</v>
      </c>
      <c r="C18" s="66">
        <v>0.6</v>
      </c>
      <c r="D18" s="73">
        <v>53</v>
      </c>
      <c r="E18" s="66" t="s">
        <v>161</v>
      </c>
    </row>
    <row r="19" spans="1:5">
      <c r="A19" s="66" t="s">
        <v>34</v>
      </c>
      <c r="B19" s="66">
        <v>2019</v>
      </c>
      <c r="C19" s="66">
        <v>0.6</v>
      </c>
      <c r="D19" s="73">
        <v>52.5</v>
      </c>
      <c r="E19" s="66" t="s">
        <v>161</v>
      </c>
    </row>
    <row r="20" spans="1:5">
      <c r="A20" s="66" t="s">
        <v>34</v>
      </c>
      <c r="B20" s="66">
        <v>2020</v>
      </c>
      <c r="C20" s="66">
        <v>0.6</v>
      </c>
      <c r="D20" s="73">
        <v>53.4</v>
      </c>
      <c r="E20" s="66" t="s">
        <v>161</v>
      </c>
    </row>
    <row r="21" spans="1:5">
      <c r="A21" s="66" t="s">
        <v>34</v>
      </c>
      <c r="B21" s="66">
        <v>2021</v>
      </c>
      <c r="C21" s="66">
        <v>0.6</v>
      </c>
      <c r="D21" s="73">
        <v>52.7</v>
      </c>
      <c r="E21" s="66" t="s">
        <v>161</v>
      </c>
    </row>
    <row r="22" spans="1:5">
      <c r="A22" s="66" t="s">
        <v>34</v>
      </c>
      <c r="B22" s="66">
        <v>2022</v>
      </c>
      <c r="C22" s="66">
        <v>0.6</v>
      </c>
      <c r="D22" s="73">
        <v>53.6</v>
      </c>
      <c r="E22" s="66" t="s">
        <v>161</v>
      </c>
    </row>
    <row r="23" spans="1:5">
      <c r="A23" s="66" t="s">
        <v>33</v>
      </c>
      <c r="B23" s="66">
        <v>2017</v>
      </c>
      <c r="C23" s="66">
        <v>53.9</v>
      </c>
      <c r="D23" s="73">
        <v>53</v>
      </c>
      <c r="E23" s="66" t="s">
        <v>161</v>
      </c>
    </row>
    <row r="24" spans="1:5">
      <c r="A24" s="66" t="s">
        <v>33</v>
      </c>
      <c r="B24" s="66">
        <v>2018</v>
      </c>
      <c r="C24" s="66">
        <v>56.2</v>
      </c>
      <c r="D24" s="73">
        <v>54.2</v>
      </c>
      <c r="E24" s="66" t="s">
        <v>161</v>
      </c>
    </row>
    <row r="25" spans="1:5">
      <c r="A25" s="66" t="s">
        <v>33</v>
      </c>
      <c r="B25" s="66">
        <v>2019</v>
      </c>
      <c r="C25" s="66">
        <v>52.2</v>
      </c>
      <c r="D25" s="73">
        <v>49.4</v>
      </c>
      <c r="E25" s="66" t="s">
        <v>161</v>
      </c>
    </row>
    <row r="26" spans="1:5">
      <c r="A26" s="66" t="s">
        <v>33</v>
      </c>
      <c r="B26" s="66">
        <v>2020</v>
      </c>
      <c r="C26" s="66">
        <v>48.3</v>
      </c>
      <c r="D26" s="73">
        <v>44.9</v>
      </c>
      <c r="E26" s="66" t="s">
        <v>161</v>
      </c>
    </row>
    <row r="27" spans="1:5">
      <c r="A27" s="66" t="s">
        <v>33</v>
      </c>
      <c r="B27" s="66">
        <v>2021</v>
      </c>
      <c r="C27" s="66">
        <v>46.2</v>
      </c>
      <c r="D27" s="73">
        <v>42.3</v>
      </c>
      <c r="E27" s="66" t="s">
        <v>161</v>
      </c>
    </row>
    <row r="28" spans="1:5">
      <c r="A28" s="66" t="s">
        <v>33</v>
      </c>
      <c r="B28" s="66">
        <v>2022</v>
      </c>
      <c r="C28" s="66">
        <v>49.3</v>
      </c>
      <c r="D28" s="73">
        <v>44.4</v>
      </c>
      <c r="E28" s="66" t="s">
        <v>161</v>
      </c>
    </row>
    <row r="29" spans="1:5">
      <c r="A29" s="66" t="s">
        <v>32</v>
      </c>
      <c r="B29" s="66">
        <v>2017</v>
      </c>
      <c r="C29" s="66">
        <v>9.1999999999999993</v>
      </c>
      <c r="D29" s="73">
        <v>23.1</v>
      </c>
      <c r="E29" s="66" t="s">
        <v>161</v>
      </c>
    </row>
    <row r="30" spans="1:5">
      <c r="A30" s="66" t="s">
        <v>32</v>
      </c>
      <c r="B30" s="66">
        <v>2018</v>
      </c>
      <c r="C30" s="66">
        <v>9.4</v>
      </c>
      <c r="D30" s="73">
        <v>23.1</v>
      </c>
      <c r="E30" s="66" t="s">
        <v>161</v>
      </c>
    </row>
    <row r="31" spans="1:5">
      <c r="A31" s="66" t="s">
        <v>32</v>
      </c>
      <c r="B31" s="66">
        <v>2019</v>
      </c>
      <c r="C31" s="66">
        <v>9.1</v>
      </c>
      <c r="D31" s="73">
        <v>21.9</v>
      </c>
      <c r="E31" s="66" t="s">
        <v>161</v>
      </c>
    </row>
    <row r="32" spans="1:5">
      <c r="A32" s="66" t="s">
        <v>32</v>
      </c>
      <c r="B32" s="66">
        <v>2020</v>
      </c>
      <c r="C32" s="66">
        <v>12.1</v>
      </c>
      <c r="D32" s="73">
        <v>28.5</v>
      </c>
      <c r="E32" s="66" t="s">
        <v>161</v>
      </c>
    </row>
    <row r="33" spans="1:5">
      <c r="A33" s="66" t="s">
        <v>32</v>
      </c>
      <c r="B33" s="66">
        <v>2021</v>
      </c>
      <c r="C33" s="66">
        <v>12.4</v>
      </c>
      <c r="D33" s="73">
        <v>28.4</v>
      </c>
      <c r="E33" s="66" t="s">
        <v>161</v>
      </c>
    </row>
    <row r="34" spans="1:5">
      <c r="A34" s="66" t="s">
        <v>32</v>
      </c>
      <c r="B34" s="66">
        <v>2022</v>
      </c>
      <c r="C34" s="66">
        <v>11.9</v>
      </c>
      <c r="D34" s="73">
        <v>26.7</v>
      </c>
      <c r="E34" s="66" t="s">
        <v>161</v>
      </c>
    </row>
    <row r="35" spans="1:5">
      <c r="A35" s="66" t="s">
        <v>43</v>
      </c>
      <c r="B35" s="66">
        <v>2017</v>
      </c>
      <c r="C35" s="66">
        <v>1.3</v>
      </c>
      <c r="D35" s="73">
        <v>13</v>
      </c>
      <c r="E35" s="66" t="s">
        <v>161</v>
      </c>
    </row>
    <row r="36" spans="1:5">
      <c r="A36" s="66" t="s">
        <v>43</v>
      </c>
      <c r="B36" s="66">
        <v>2018</v>
      </c>
      <c r="C36" s="66">
        <v>1.3</v>
      </c>
      <c r="D36" s="73">
        <v>12.9</v>
      </c>
      <c r="E36" s="66" t="s">
        <v>161</v>
      </c>
    </row>
    <row r="37" spans="1:5">
      <c r="A37" s="66" t="s">
        <v>43</v>
      </c>
      <c r="B37" s="66">
        <v>2019</v>
      </c>
      <c r="C37" s="66">
        <v>1.4</v>
      </c>
      <c r="D37" s="73">
        <v>12.9</v>
      </c>
      <c r="E37" s="66" t="s">
        <v>161</v>
      </c>
    </row>
    <row r="38" spans="1:5">
      <c r="A38" s="66" t="s">
        <v>43</v>
      </c>
      <c r="B38" s="66">
        <v>2020</v>
      </c>
      <c r="C38" s="66">
        <v>1.6</v>
      </c>
      <c r="D38" s="73">
        <v>14.4</v>
      </c>
      <c r="E38" s="66" t="s">
        <v>161</v>
      </c>
    </row>
    <row r="39" spans="1:5">
      <c r="A39" s="66" t="s">
        <v>43</v>
      </c>
      <c r="B39" s="66">
        <v>2021</v>
      </c>
      <c r="C39" s="66">
        <v>1.5</v>
      </c>
      <c r="D39" s="73">
        <v>13.6</v>
      </c>
      <c r="E39" s="66" t="s">
        <v>161</v>
      </c>
    </row>
    <row r="40" spans="1:5">
      <c r="A40" s="66" t="s">
        <v>43</v>
      </c>
      <c r="B40" s="66">
        <v>2022</v>
      </c>
      <c r="C40" s="66">
        <v>1.5</v>
      </c>
      <c r="D40" s="73">
        <v>13</v>
      </c>
      <c r="E40" s="66" t="s">
        <v>161</v>
      </c>
    </row>
    <row r="41" spans="1:5">
      <c r="A41" s="66" t="s">
        <v>46</v>
      </c>
      <c r="B41" s="66">
        <v>2020</v>
      </c>
      <c r="C41" s="66">
        <v>0.1</v>
      </c>
      <c r="D41" s="73">
        <v>0.1</v>
      </c>
      <c r="E41" s="66" t="s">
        <v>161</v>
      </c>
    </row>
    <row r="42" spans="1:5">
      <c r="A42" s="66" t="s">
        <v>46</v>
      </c>
      <c r="B42" s="66">
        <v>2021</v>
      </c>
      <c r="C42" s="66">
        <v>0.1</v>
      </c>
      <c r="D42" s="73">
        <v>1.8</v>
      </c>
      <c r="E42" s="66" t="s">
        <v>161</v>
      </c>
    </row>
    <row r="43" spans="1:5">
      <c r="A43" s="66" t="s">
        <v>46</v>
      </c>
      <c r="B43" s="66">
        <v>2022</v>
      </c>
      <c r="C43" s="66">
        <v>0.2</v>
      </c>
      <c r="D43" s="73">
        <v>2.9</v>
      </c>
      <c r="E43" s="66" t="s">
        <v>161</v>
      </c>
    </row>
    <row r="44" spans="1:5">
      <c r="A44" s="66" t="s">
        <v>36</v>
      </c>
      <c r="B44" s="66">
        <v>2017</v>
      </c>
      <c r="C44" s="66">
        <v>2.1</v>
      </c>
      <c r="D44" s="73">
        <v>49.9</v>
      </c>
      <c r="E44" s="66" t="s">
        <v>161</v>
      </c>
    </row>
    <row r="45" spans="1:5">
      <c r="A45" s="66" t="s">
        <v>36</v>
      </c>
      <c r="B45" s="66">
        <v>2018</v>
      </c>
      <c r="C45" s="66">
        <v>2.1</v>
      </c>
      <c r="D45" s="73">
        <v>49.9</v>
      </c>
      <c r="E45" s="66" t="s">
        <v>161</v>
      </c>
    </row>
    <row r="46" spans="1:5">
      <c r="A46" s="66" t="s">
        <v>36</v>
      </c>
      <c r="B46" s="66">
        <v>2019</v>
      </c>
      <c r="C46" s="66">
        <v>2.2000000000000002</v>
      </c>
      <c r="D46" s="73">
        <v>50.4</v>
      </c>
      <c r="E46" s="66" t="s">
        <v>161</v>
      </c>
    </row>
    <row r="47" spans="1:5">
      <c r="A47" s="66" t="s">
        <v>36</v>
      </c>
      <c r="B47" s="66">
        <v>2020</v>
      </c>
      <c r="C47" s="66">
        <v>2.2999999999999998</v>
      </c>
      <c r="D47" s="73">
        <v>52.1</v>
      </c>
      <c r="E47" s="66" t="s">
        <v>161</v>
      </c>
    </row>
    <row r="48" spans="1:5">
      <c r="A48" s="66" t="s">
        <v>36</v>
      </c>
      <c r="B48" s="66">
        <v>2021</v>
      </c>
      <c r="C48" s="66">
        <v>2.5</v>
      </c>
      <c r="D48" s="73">
        <v>54.4</v>
      </c>
      <c r="E48" s="66" t="s">
        <v>161</v>
      </c>
    </row>
    <row r="49" spans="1:5">
      <c r="A49" s="66" t="s">
        <v>36</v>
      </c>
      <c r="B49" s="66">
        <v>2022</v>
      </c>
      <c r="C49" s="66">
        <v>2.6</v>
      </c>
      <c r="D49" s="73">
        <v>55.2</v>
      </c>
      <c r="E49" s="66" t="s">
        <v>161</v>
      </c>
    </row>
    <row r="50" spans="1:5">
      <c r="A50" s="66" t="s">
        <v>35</v>
      </c>
      <c r="B50" s="66">
        <v>2017</v>
      </c>
      <c r="C50" s="66">
        <v>4.5999999999999996</v>
      </c>
      <c r="D50" s="73">
        <v>13</v>
      </c>
      <c r="E50" s="66" t="s">
        <v>161</v>
      </c>
    </row>
    <row r="51" spans="1:5">
      <c r="A51" s="66" t="s">
        <v>35</v>
      </c>
      <c r="B51" s="66">
        <v>2018</v>
      </c>
      <c r="C51" s="66">
        <v>4.5</v>
      </c>
      <c r="D51" s="73">
        <v>12.4</v>
      </c>
      <c r="E51" s="66" t="s">
        <v>161</v>
      </c>
    </row>
    <row r="52" spans="1:5">
      <c r="A52" s="66" t="s">
        <v>35</v>
      </c>
      <c r="B52" s="66">
        <v>2019</v>
      </c>
      <c r="C52" s="66">
        <v>4.3</v>
      </c>
      <c r="D52" s="73">
        <v>11.7</v>
      </c>
      <c r="E52" s="66" t="s">
        <v>161</v>
      </c>
    </row>
    <row r="53" spans="1:5">
      <c r="A53" s="66" t="s">
        <v>35</v>
      </c>
      <c r="B53" s="66">
        <v>2020</v>
      </c>
      <c r="C53" s="66">
        <v>5.0999999999999996</v>
      </c>
      <c r="D53" s="73">
        <v>13.8</v>
      </c>
      <c r="E53" s="66" t="s">
        <v>161</v>
      </c>
    </row>
    <row r="54" spans="1:5">
      <c r="A54" s="66" t="s">
        <v>35</v>
      </c>
      <c r="B54" s="66">
        <v>2021</v>
      </c>
      <c r="C54" s="66">
        <v>4.4000000000000004</v>
      </c>
      <c r="D54" s="73">
        <v>12</v>
      </c>
      <c r="E54" s="66" t="s">
        <v>161</v>
      </c>
    </row>
    <row r="55" spans="1:5">
      <c r="A55" s="66" t="s">
        <v>35</v>
      </c>
      <c r="B55" s="66">
        <v>2022</v>
      </c>
      <c r="C55" s="66">
        <v>4.8</v>
      </c>
      <c r="D55" s="73">
        <v>12.7</v>
      </c>
      <c r="E55" s="66" t="s">
        <v>161</v>
      </c>
    </row>
    <row r="56" spans="1:5">
      <c r="A56" s="66" t="s">
        <v>51</v>
      </c>
      <c r="B56" s="66">
        <v>2017</v>
      </c>
      <c r="C56" s="66">
        <v>0.2</v>
      </c>
      <c r="D56" s="73">
        <v>5</v>
      </c>
      <c r="E56" s="66" t="s">
        <v>161</v>
      </c>
    </row>
    <row r="57" spans="1:5">
      <c r="A57" s="66" t="s">
        <v>51</v>
      </c>
      <c r="B57" s="66">
        <v>2018</v>
      </c>
      <c r="C57" s="66">
        <v>0.2</v>
      </c>
      <c r="D57" s="73">
        <v>5.0999999999999996</v>
      </c>
      <c r="E57" s="66" t="s">
        <v>161</v>
      </c>
    </row>
    <row r="58" spans="1:5">
      <c r="A58" s="66" t="s">
        <v>51</v>
      </c>
      <c r="B58" s="66">
        <v>2019</v>
      </c>
      <c r="C58" s="66">
        <v>0.3</v>
      </c>
      <c r="D58" s="73">
        <v>5.5</v>
      </c>
      <c r="E58" s="66" t="s">
        <v>161</v>
      </c>
    </row>
    <row r="59" spans="1:5">
      <c r="A59" s="66" t="s">
        <v>51</v>
      </c>
      <c r="B59" s="66">
        <v>2020</v>
      </c>
      <c r="C59" s="66">
        <v>0.3</v>
      </c>
      <c r="D59" s="73">
        <v>6.8</v>
      </c>
      <c r="E59" s="66" t="s">
        <v>161</v>
      </c>
    </row>
    <row r="60" spans="1:5">
      <c r="A60" s="66" t="s">
        <v>51</v>
      </c>
      <c r="B60" s="66">
        <v>2021</v>
      </c>
      <c r="C60" s="66">
        <v>0.3</v>
      </c>
      <c r="D60" s="73">
        <v>5.4</v>
      </c>
      <c r="E60" s="66" t="s">
        <v>161</v>
      </c>
    </row>
    <row r="61" spans="1:5">
      <c r="A61" s="66" t="s">
        <v>51</v>
      </c>
      <c r="B61" s="66">
        <v>2022</v>
      </c>
      <c r="C61" s="66">
        <v>0.2</v>
      </c>
      <c r="D61" s="73">
        <v>4.4000000000000004</v>
      </c>
      <c r="E61" s="66" t="s">
        <v>161</v>
      </c>
    </row>
    <row r="62" spans="1:5">
      <c r="A62" s="66" t="s">
        <v>105</v>
      </c>
      <c r="B62" s="66">
        <v>2017</v>
      </c>
      <c r="C62" s="66">
        <v>18.399999999999999</v>
      </c>
      <c r="D62" s="73">
        <v>45.2</v>
      </c>
      <c r="E62" s="66" t="s">
        <v>161</v>
      </c>
    </row>
    <row r="63" spans="1:5">
      <c r="A63" s="66" t="s">
        <v>105</v>
      </c>
      <c r="B63" s="66">
        <v>2018</v>
      </c>
      <c r="C63" s="66">
        <v>21</v>
      </c>
      <c r="D63" s="73">
        <v>50</v>
      </c>
      <c r="E63" s="66" t="s">
        <v>161</v>
      </c>
    </row>
    <row r="64" spans="1:5">
      <c r="A64" s="66" t="s">
        <v>105</v>
      </c>
      <c r="B64" s="66">
        <v>2019</v>
      </c>
      <c r="C64" s="66">
        <v>24.5</v>
      </c>
      <c r="D64" s="73">
        <v>56.7</v>
      </c>
      <c r="E64" s="66" t="s">
        <v>161</v>
      </c>
    </row>
    <row r="65" spans="1:5">
      <c r="A65" s="66" t="s">
        <v>105</v>
      </c>
      <c r="B65" s="66">
        <v>2020</v>
      </c>
      <c r="C65" s="66">
        <v>25</v>
      </c>
      <c r="D65" s="73">
        <v>56.3</v>
      </c>
      <c r="E65" s="66" t="s">
        <v>161</v>
      </c>
    </row>
    <row r="66" spans="1:5">
      <c r="A66" s="66" t="s">
        <v>105</v>
      </c>
      <c r="B66" s="66">
        <v>2021</v>
      </c>
      <c r="C66" s="66">
        <v>19</v>
      </c>
      <c r="D66" s="73">
        <v>41.6</v>
      </c>
      <c r="E66" s="66" t="s">
        <v>161</v>
      </c>
    </row>
    <row r="67" spans="1:5">
      <c r="A67" s="66" t="s">
        <v>105</v>
      </c>
      <c r="B67" s="66">
        <v>2022</v>
      </c>
      <c r="C67" s="66">
        <v>15.8</v>
      </c>
      <c r="D67" s="73">
        <v>33.700000000000003</v>
      </c>
      <c r="E67" s="66" t="s">
        <v>161</v>
      </c>
    </row>
    <row r="68" spans="1:5">
      <c r="A68" s="66" t="s">
        <v>162</v>
      </c>
      <c r="B68" s="66">
        <v>2021</v>
      </c>
      <c r="C68" s="66">
        <v>18.399999999999999</v>
      </c>
      <c r="D68" s="73">
        <v>86.2</v>
      </c>
      <c r="E68" s="66" t="s">
        <v>161</v>
      </c>
    </row>
    <row r="69" spans="1:5">
      <c r="A69" s="66" t="s">
        <v>42</v>
      </c>
      <c r="B69" s="66">
        <v>2017</v>
      </c>
      <c r="C69" s="66">
        <v>0.9</v>
      </c>
      <c r="D69" s="73">
        <v>7.7</v>
      </c>
      <c r="E69" s="66" t="s">
        <v>161</v>
      </c>
    </row>
    <row r="70" spans="1:5">
      <c r="A70" s="66" t="s">
        <v>42</v>
      </c>
      <c r="B70" s="66">
        <v>2018</v>
      </c>
      <c r="C70" s="66">
        <v>0.9</v>
      </c>
      <c r="D70" s="73">
        <v>7.2</v>
      </c>
      <c r="E70" s="66" t="s">
        <v>161</v>
      </c>
    </row>
    <row r="71" spans="1:5">
      <c r="A71" s="66" t="s">
        <v>42</v>
      </c>
      <c r="B71" s="66">
        <v>2019</v>
      </c>
      <c r="C71" s="66">
        <v>0.8</v>
      </c>
      <c r="D71" s="73">
        <v>6.9</v>
      </c>
      <c r="E71" s="66" t="s">
        <v>161</v>
      </c>
    </row>
    <row r="72" spans="1:5">
      <c r="A72" s="66" t="s">
        <v>42</v>
      </c>
      <c r="B72" s="66">
        <v>2020</v>
      </c>
      <c r="C72" s="66">
        <v>1</v>
      </c>
      <c r="D72" s="73">
        <v>8.1</v>
      </c>
      <c r="E72" s="66" t="s">
        <v>161</v>
      </c>
    </row>
    <row r="73" spans="1:5">
      <c r="A73" s="66" t="s">
        <v>42</v>
      </c>
      <c r="B73" s="66">
        <v>2021</v>
      </c>
      <c r="C73" s="66">
        <v>0.9</v>
      </c>
      <c r="D73" s="73">
        <v>7.3</v>
      </c>
      <c r="E73" s="66" t="s">
        <v>161</v>
      </c>
    </row>
    <row r="74" spans="1:5">
      <c r="A74" s="66" t="s">
        <v>42</v>
      </c>
      <c r="B74" s="66">
        <v>2022</v>
      </c>
      <c r="C74" s="66">
        <v>0.9</v>
      </c>
      <c r="D74" s="73">
        <v>7.3</v>
      </c>
      <c r="E74" s="66" t="s">
        <v>161</v>
      </c>
    </row>
    <row r="75" spans="1:5">
      <c r="A75" s="66" t="s">
        <v>31</v>
      </c>
      <c r="B75" s="66">
        <v>2017</v>
      </c>
      <c r="C75" s="66">
        <v>0.1</v>
      </c>
      <c r="D75" s="73">
        <v>1</v>
      </c>
      <c r="E75" s="66" t="s">
        <v>161</v>
      </c>
    </row>
    <row r="76" spans="1:5">
      <c r="A76" s="66" t="s">
        <v>31</v>
      </c>
      <c r="B76" s="66">
        <v>2018</v>
      </c>
      <c r="C76" s="66">
        <v>0.2</v>
      </c>
      <c r="D76" s="73">
        <v>2.5</v>
      </c>
      <c r="E76" s="66" t="s">
        <v>161</v>
      </c>
    </row>
    <row r="77" spans="1:5">
      <c r="A77" s="66" t="s">
        <v>31</v>
      </c>
      <c r="B77" s="66">
        <v>2019</v>
      </c>
      <c r="C77" s="66">
        <v>0.2</v>
      </c>
      <c r="D77" s="73">
        <v>2.1</v>
      </c>
      <c r="E77" s="66" t="s">
        <v>161</v>
      </c>
    </row>
    <row r="78" spans="1:5">
      <c r="A78" s="66" t="s">
        <v>31</v>
      </c>
      <c r="B78" s="66">
        <v>2020</v>
      </c>
      <c r="C78" s="66">
        <v>0.1</v>
      </c>
      <c r="D78" s="73">
        <v>0.1</v>
      </c>
      <c r="E78" s="66" t="s">
        <v>161</v>
      </c>
    </row>
    <row r="79" spans="1:5">
      <c r="A79" s="66" t="s">
        <v>31</v>
      </c>
      <c r="B79" s="66">
        <v>2021</v>
      </c>
      <c r="C79" s="66">
        <v>0.1</v>
      </c>
      <c r="D79" s="73">
        <v>0.1</v>
      </c>
      <c r="E79" s="66" t="s">
        <v>161</v>
      </c>
    </row>
    <row r="80" spans="1:5">
      <c r="A80" s="66" t="s">
        <v>31</v>
      </c>
      <c r="B80" s="66">
        <v>2022</v>
      </c>
      <c r="C80" s="66">
        <v>0.2</v>
      </c>
      <c r="D80" s="73">
        <v>2.2999999999999998</v>
      </c>
      <c r="E80" s="66" t="s">
        <v>161</v>
      </c>
    </row>
    <row r="83" spans="1:4">
      <c r="A83" s="2" t="s">
        <v>163</v>
      </c>
      <c r="C83" t="s">
        <v>164</v>
      </c>
      <c r="D83" s="80" t="s">
        <v>165</v>
      </c>
    </row>
  </sheetData>
  <mergeCells count="1">
    <mergeCell ref="C1:E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FAAB-086B-4F6E-8A1D-0974EF8FC39F}">
  <sheetPr codeName="Sheet18">
    <tabColor theme="4" tint="0.39997558519241921"/>
  </sheetPr>
  <dimension ref="A1:L21"/>
  <sheetViews>
    <sheetView showGridLines="0" zoomScale="70" zoomScaleNormal="70" workbookViewId="0">
      <pane xSplit="1" ySplit="1" topLeftCell="B2" activePane="bottomRight" state="frozen"/>
      <selection pane="topRight"/>
      <selection pane="bottomLeft"/>
      <selection pane="bottomRight" activeCell="B1" sqref="B1"/>
    </sheetView>
  </sheetViews>
  <sheetFormatPr defaultRowHeight="14.5"/>
  <cols>
    <col min="1" max="1" width="23.54296875" customWidth="1"/>
    <col min="2" max="2" width="25.54296875" style="80" bestFit="1" customWidth="1"/>
    <col min="9" max="9" width="18.81640625" bestFit="1" customWidth="1"/>
    <col min="10" max="10" width="11.54296875" customWidth="1"/>
    <col min="11" max="11" width="11.54296875" style="58" customWidth="1"/>
    <col min="12" max="12" width="15.453125" customWidth="1"/>
  </cols>
  <sheetData>
    <row r="1" spans="1:12" ht="16">
      <c r="A1" s="64" t="s">
        <v>4</v>
      </c>
      <c r="B1" s="81" t="s">
        <v>166</v>
      </c>
      <c r="I1" s="43" t="s">
        <v>103</v>
      </c>
      <c r="J1" s="43" t="s">
        <v>167</v>
      </c>
      <c r="K1" s="232" t="s">
        <v>168</v>
      </c>
      <c r="L1" s="43" t="s">
        <v>169</v>
      </c>
    </row>
    <row r="2" spans="1:12">
      <c r="A2" s="233" t="s">
        <v>67</v>
      </c>
      <c r="B2" s="14">
        <v>33.046992540859073</v>
      </c>
      <c r="I2" s="35" t="s">
        <v>45</v>
      </c>
      <c r="J2" s="226">
        <v>28.6</v>
      </c>
      <c r="K2" s="227">
        <v>21175.75</v>
      </c>
      <c r="L2" s="213">
        <f>K2/$K$19</f>
        <v>0.11290340595016804</v>
      </c>
    </row>
    <row r="3" spans="1:12">
      <c r="A3" s="66" t="s">
        <v>45</v>
      </c>
      <c r="B3" s="82">
        <v>28.6</v>
      </c>
      <c r="I3" s="35" t="s">
        <v>40</v>
      </c>
      <c r="J3" s="226">
        <v>11.4</v>
      </c>
      <c r="K3" s="227">
        <v>341.68</v>
      </c>
      <c r="L3" s="213">
        <f t="shared" ref="L3:L18" si="0">K3/$K$19</f>
        <v>1.8217459001477357E-3</v>
      </c>
    </row>
    <row r="4" spans="1:12">
      <c r="A4" s="66" t="s">
        <v>40</v>
      </c>
      <c r="B4" s="82">
        <v>11.4</v>
      </c>
      <c r="I4" s="35" t="s">
        <v>34</v>
      </c>
      <c r="J4" s="226">
        <v>12.4</v>
      </c>
      <c r="K4" s="227">
        <v>486.36160000000001</v>
      </c>
      <c r="L4" s="213">
        <f t="shared" si="0"/>
        <v>2.5931492940449922E-3</v>
      </c>
    </row>
    <row r="5" spans="1:12">
      <c r="A5" s="66" t="s">
        <v>34</v>
      </c>
      <c r="B5" s="82">
        <v>12.4</v>
      </c>
      <c r="I5" s="35" t="s">
        <v>33</v>
      </c>
      <c r="J5" s="226">
        <v>40.200000000000003</v>
      </c>
      <c r="K5" s="227">
        <v>54930.86</v>
      </c>
      <c r="L5" s="213">
        <f t="shared" si="0"/>
        <v>0.29287657748943235</v>
      </c>
    </row>
    <row r="6" spans="1:12">
      <c r="A6" s="66" t="s">
        <v>33</v>
      </c>
      <c r="B6" s="82">
        <v>40.200000000000003</v>
      </c>
      <c r="I6" s="35" t="s">
        <v>32</v>
      </c>
      <c r="J6" s="226">
        <v>25.8</v>
      </c>
      <c r="K6" s="227">
        <v>20113.669999999998</v>
      </c>
      <c r="L6" s="213">
        <f t="shared" si="0"/>
        <v>0.10724068092784039</v>
      </c>
    </row>
    <row r="7" spans="1:12">
      <c r="A7" s="66" t="s">
        <v>32</v>
      </c>
      <c r="B7" s="82">
        <v>25.8</v>
      </c>
      <c r="I7" s="35" t="s">
        <v>43</v>
      </c>
      <c r="J7" s="226">
        <v>17.8</v>
      </c>
      <c r="K7" s="227">
        <v>5149.7359999999999</v>
      </c>
      <c r="L7" s="213">
        <f t="shared" si="0"/>
        <v>2.7457007857771012E-2</v>
      </c>
    </row>
    <row r="8" spans="1:12">
      <c r="A8" s="66" t="s">
        <v>43</v>
      </c>
      <c r="B8" s="82">
        <v>17.8</v>
      </c>
      <c r="I8" s="35" t="s">
        <v>46</v>
      </c>
      <c r="J8" s="226">
        <v>22.1</v>
      </c>
      <c r="K8" s="227">
        <v>2940.4079999999999</v>
      </c>
      <c r="L8" s="213">
        <f t="shared" si="0"/>
        <v>1.5677464934329206E-2</v>
      </c>
    </row>
    <row r="9" spans="1:12">
      <c r="A9" s="66" t="s">
        <v>46</v>
      </c>
      <c r="B9" s="82">
        <v>22.1</v>
      </c>
      <c r="I9" s="35" t="s">
        <v>36</v>
      </c>
      <c r="J9" s="226">
        <v>40.9</v>
      </c>
      <c r="K9" s="227">
        <v>2350.0140000000001</v>
      </c>
      <c r="L9" s="213">
        <f t="shared" si="0"/>
        <v>1.2529642852346584E-2</v>
      </c>
    </row>
    <row r="10" spans="1:12">
      <c r="A10" s="66" t="s">
        <v>36</v>
      </c>
      <c r="B10" s="82">
        <v>40.9</v>
      </c>
      <c r="I10" s="35" t="s">
        <v>35</v>
      </c>
      <c r="J10" s="226">
        <v>35</v>
      </c>
      <c r="K10" s="227">
        <v>17558.32</v>
      </c>
      <c r="L10" s="213">
        <f t="shared" si="0"/>
        <v>9.3616241727587188E-2</v>
      </c>
    </row>
    <row r="11" spans="1:12">
      <c r="A11" s="66" t="s">
        <v>35</v>
      </c>
      <c r="B11" s="82">
        <v>35</v>
      </c>
      <c r="I11" s="35" t="s">
        <v>49</v>
      </c>
      <c r="J11" s="226">
        <v>23.2</v>
      </c>
      <c r="K11" s="227">
        <v>1574.3489999999999</v>
      </c>
      <c r="L11" s="213">
        <f t="shared" si="0"/>
        <v>8.3940056080299922E-3</v>
      </c>
    </row>
    <row r="12" spans="1:12">
      <c r="A12" s="66" t="s">
        <v>49</v>
      </c>
      <c r="B12" s="82">
        <v>23.2</v>
      </c>
      <c r="I12" s="35" t="s">
        <v>47</v>
      </c>
      <c r="J12" s="226">
        <v>29.3</v>
      </c>
      <c r="K12" s="227">
        <v>490.48399999999998</v>
      </c>
      <c r="L12" s="213">
        <f t="shared" si="0"/>
        <v>2.6151288225475943E-3</v>
      </c>
    </row>
    <row r="13" spans="1:12">
      <c r="A13" s="66" t="s">
        <v>47</v>
      </c>
      <c r="B13" s="82">
        <v>29.3</v>
      </c>
      <c r="I13" s="35" t="s">
        <v>39</v>
      </c>
      <c r="J13" s="226">
        <v>33.700000000000003</v>
      </c>
      <c r="K13" s="227">
        <v>7712.2240000000002</v>
      </c>
      <c r="L13" s="213">
        <f t="shared" si="0"/>
        <v>4.1119504954989963E-2</v>
      </c>
    </row>
    <row r="14" spans="1:12">
      <c r="A14" s="66" t="s">
        <v>39</v>
      </c>
      <c r="B14" s="82">
        <v>33.700000000000003</v>
      </c>
      <c r="I14" s="35" t="s">
        <v>51</v>
      </c>
      <c r="J14" s="226">
        <v>38.9</v>
      </c>
      <c r="K14" s="227">
        <v>2550.9690000000001</v>
      </c>
      <c r="L14" s="213">
        <f t="shared" si="0"/>
        <v>1.3601080886074601E-2</v>
      </c>
    </row>
    <row r="15" spans="1:12">
      <c r="A15" s="66" t="s">
        <v>51</v>
      </c>
      <c r="B15" s="82">
        <v>38.9</v>
      </c>
      <c r="I15" s="35" t="s">
        <v>105</v>
      </c>
      <c r="J15" s="226">
        <v>54.6</v>
      </c>
      <c r="K15" s="227">
        <v>19535.12</v>
      </c>
      <c r="L15" s="213">
        <f t="shared" si="0"/>
        <v>0.10415600786962664</v>
      </c>
    </row>
    <row r="16" spans="1:12">
      <c r="A16" s="66" t="s">
        <v>105</v>
      </c>
      <c r="B16" s="82">
        <v>54.6</v>
      </c>
      <c r="I16" s="35" t="s">
        <v>162</v>
      </c>
      <c r="J16" s="226">
        <v>28.5</v>
      </c>
      <c r="K16" s="227">
        <v>10178.469999999999</v>
      </c>
      <c r="L16" s="213">
        <f t="shared" si="0"/>
        <v>5.4268865582640838E-2</v>
      </c>
    </row>
    <row r="17" spans="1:12">
      <c r="A17" s="66" t="s">
        <v>162</v>
      </c>
      <c r="B17" s="82">
        <v>28.5</v>
      </c>
      <c r="I17" s="35" t="s">
        <v>42</v>
      </c>
      <c r="J17" s="226">
        <v>13.5</v>
      </c>
      <c r="K17" s="227">
        <v>6023.3379999999997</v>
      </c>
      <c r="L17" s="213">
        <f t="shared" si="0"/>
        <v>3.2114818855958974E-2</v>
      </c>
    </row>
    <row r="18" spans="1:12">
      <c r="A18" s="66" t="s">
        <v>42</v>
      </c>
      <c r="B18" s="82">
        <v>13.5</v>
      </c>
      <c r="I18" s="35" t="s">
        <v>52</v>
      </c>
      <c r="J18" s="226">
        <v>9.6999999999999993</v>
      </c>
      <c r="K18" s="227">
        <v>14444.59</v>
      </c>
      <c r="L18" s="213">
        <f t="shared" si="0"/>
        <v>7.701467048646389E-2</v>
      </c>
    </row>
    <row r="19" spans="1:12">
      <c r="A19" s="66" t="s">
        <v>52</v>
      </c>
      <c r="B19" s="82">
        <v>9.6999999999999993</v>
      </c>
      <c r="I19" s="228" t="s">
        <v>67</v>
      </c>
      <c r="J19" s="229">
        <f>SUMPRODUCT(J2:J18,K2:K18)/SUM(K2:K18)</f>
        <v>33.046992540859073</v>
      </c>
      <c r="K19" s="230">
        <f>SUM(K2:K18)</f>
        <v>187556.34359999999</v>
      </c>
      <c r="L19" s="231">
        <f>SUM(L2:L18)</f>
        <v>1</v>
      </c>
    </row>
    <row r="21" spans="1:12">
      <c r="I21" t="s">
        <v>170</v>
      </c>
      <c r="J21" t="s">
        <v>171</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81480-1FFB-418F-9129-627D84643643}">
  <sheetPr>
    <tabColor theme="0" tint="-0.499984740745262"/>
  </sheetPr>
  <dimension ref="A1:AK8"/>
  <sheetViews>
    <sheetView zoomScale="70" zoomScaleNormal="70" workbookViewId="0">
      <selection activeCell="A8" sqref="A8"/>
    </sheetView>
  </sheetViews>
  <sheetFormatPr defaultRowHeight="14.5"/>
  <cols>
    <col min="1" max="1" width="13.1796875" style="240" customWidth="1"/>
    <col min="2" max="37" width="8.81640625" style="240"/>
  </cols>
  <sheetData>
    <row r="1" spans="1:3" ht="16">
      <c r="A1" s="28" t="s">
        <v>453</v>
      </c>
      <c r="B1" s="28" t="s">
        <v>2</v>
      </c>
      <c r="C1" s="28" t="s">
        <v>3</v>
      </c>
    </row>
    <row r="2" spans="1:3">
      <c r="A2" s="13">
        <v>2015</v>
      </c>
      <c r="B2" s="285">
        <v>32.6</v>
      </c>
      <c r="C2" s="285">
        <v>29</v>
      </c>
    </row>
    <row r="3" spans="1:3">
      <c r="A3" s="13">
        <v>2020</v>
      </c>
      <c r="B3" s="285">
        <v>36.5</v>
      </c>
      <c r="C3" s="285">
        <v>33.9</v>
      </c>
    </row>
    <row r="4" spans="1:3">
      <c r="A4" s="13">
        <v>2021</v>
      </c>
      <c r="B4" s="285">
        <v>39.799999999999997</v>
      </c>
      <c r="C4" s="285">
        <v>36.6</v>
      </c>
    </row>
    <row r="5" spans="1:3">
      <c r="A5" s="13">
        <v>2022</v>
      </c>
      <c r="B5" s="285">
        <v>39.700000000000003</v>
      </c>
      <c r="C5" s="285">
        <v>34.6</v>
      </c>
    </row>
    <row r="6" spans="1:3">
      <c r="A6" s="13">
        <v>2023</v>
      </c>
      <c r="B6" s="285">
        <v>40.299999999999997</v>
      </c>
      <c r="C6" s="285">
        <v>36.299999999999997</v>
      </c>
    </row>
    <row r="8" spans="1:3">
      <c r="A8" s="357" t="s">
        <v>25</v>
      </c>
      <c r="B8" s="172" t="s">
        <v>616</v>
      </c>
    </row>
  </sheetData>
  <hyperlinks>
    <hyperlink ref="B8" r:id="rId1" location="data" display="https://www.fao.org/faostat/en/ - data" xr:uid="{B493D638-BEFC-4BDC-AB79-FE58CAA0FECE}"/>
  </hyperlinks>
  <pageMargins left="0.7" right="0.7" top="0.75" bottom="0.75" header="0.3" footer="0.3"/>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4664D-FC70-483E-8C70-3F298F3640A8}">
  <sheetPr>
    <tabColor theme="0" tint="-0.499984740745262"/>
  </sheetPr>
  <dimension ref="A1:BA24"/>
  <sheetViews>
    <sheetView zoomScale="70" zoomScaleNormal="70" workbookViewId="0">
      <selection activeCell="B1" sqref="B1:C1"/>
    </sheetView>
  </sheetViews>
  <sheetFormatPr defaultRowHeight="14.5"/>
  <cols>
    <col min="1" max="1" width="8.81640625" style="240"/>
    <col min="2" max="3" width="17.54296875" style="240" customWidth="1"/>
    <col min="4" max="53" width="8.81640625" style="240"/>
  </cols>
  <sheetData>
    <row r="1" spans="1:3" ht="19" customHeight="1">
      <c r="A1" s="28" t="s">
        <v>453</v>
      </c>
      <c r="B1" s="345" t="s">
        <v>67</v>
      </c>
      <c r="C1" s="345" t="s">
        <v>110</v>
      </c>
    </row>
    <row r="2" spans="1:3">
      <c r="A2" s="13">
        <v>2000</v>
      </c>
      <c r="B2" s="286">
        <v>38.1</v>
      </c>
      <c r="C2" s="286">
        <v>31.2000007629394</v>
      </c>
    </row>
    <row r="3" spans="1:3">
      <c r="A3" s="13">
        <v>2001</v>
      </c>
      <c r="B3" s="286">
        <v>37.6</v>
      </c>
      <c r="C3" s="286">
        <v>30.899999618530199</v>
      </c>
    </row>
    <row r="4" spans="1:3">
      <c r="A4" s="13">
        <v>2002</v>
      </c>
      <c r="B4" s="286">
        <v>37.200000000000003</v>
      </c>
      <c r="C4" s="286">
        <v>30.600000381469702</v>
      </c>
    </row>
    <row r="5" spans="1:3">
      <c r="A5" s="13">
        <v>2003</v>
      </c>
      <c r="B5" s="286">
        <v>36.9</v>
      </c>
      <c r="C5" s="286">
        <v>30.299999237060501</v>
      </c>
    </row>
    <row r="6" spans="1:3">
      <c r="A6" s="13">
        <v>2004</v>
      </c>
      <c r="B6" s="286">
        <v>36.6</v>
      </c>
      <c r="C6" s="286">
        <v>30.100000381469702</v>
      </c>
    </row>
    <row r="7" spans="1:3">
      <c r="A7" s="13">
        <v>2005</v>
      </c>
      <c r="B7" s="286">
        <v>36.200000000000003</v>
      </c>
      <c r="C7" s="286">
        <v>29.899999618530199</v>
      </c>
    </row>
    <row r="8" spans="1:3">
      <c r="A8" s="13">
        <v>2006</v>
      </c>
      <c r="B8" s="286">
        <v>35.700000000000003</v>
      </c>
      <c r="C8" s="286">
        <v>29.600000381469702</v>
      </c>
    </row>
    <row r="9" spans="1:3">
      <c r="A9" s="13">
        <v>2007</v>
      </c>
      <c r="B9" s="286">
        <v>35.299999999999997</v>
      </c>
      <c r="C9" s="286">
        <v>29.299999237060501</v>
      </c>
    </row>
    <row r="10" spans="1:3">
      <c r="A10" s="13">
        <v>2008</v>
      </c>
      <c r="B10" s="286">
        <v>34.799999999999997</v>
      </c>
      <c r="C10" s="286">
        <v>29.100000381469702</v>
      </c>
    </row>
    <row r="11" spans="1:3">
      <c r="A11" s="13">
        <v>2009</v>
      </c>
      <c r="B11" s="286">
        <v>34.299999999999997</v>
      </c>
      <c r="C11" s="286">
        <v>28.799999237060501</v>
      </c>
    </row>
    <row r="12" spans="1:3">
      <c r="A12" s="13">
        <v>2010</v>
      </c>
      <c r="B12" s="286">
        <v>33.799999999999997</v>
      </c>
      <c r="C12" s="286">
        <v>28.600000381469702</v>
      </c>
    </row>
    <row r="13" spans="1:3">
      <c r="A13" s="13">
        <v>2011</v>
      </c>
      <c r="B13" s="286">
        <v>33.4</v>
      </c>
      <c r="C13" s="286">
        <v>28.5</v>
      </c>
    </row>
    <row r="14" spans="1:3">
      <c r="A14" s="13">
        <v>2012</v>
      </c>
      <c r="B14" s="286">
        <v>33.200000000000003</v>
      </c>
      <c r="C14" s="286">
        <v>28.5</v>
      </c>
    </row>
    <row r="15" spans="1:3">
      <c r="A15" s="13">
        <v>2013</v>
      </c>
      <c r="B15" s="286">
        <v>33.1</v>
      </c>
      <c r="C15" s="286">
        <v>28.5</v>
      </c>
    </row>
    <row r="16" spans="1:3">
      <c r="A16" s="13">
        <v>2014</v>
      </c>
      <c r="B16" s="286">
        <v>32.9</v>
      </c>
      <c r="C16" s="286">
        <v>28.600000381469702</v>
      </c>
    </row>
    <row r="17" spans="1:3">
      <c r="A17" s="13">
        <v>2015</v>
      </c>
      <c r="B17" s="286">
        <v>32.799999999999997</v>
      </c>
      <c r="C17" s="286">
        <v>28.799999237060501</v>
      </c>
    </row>
    <row r="18" spans="1:3">
      <c r="A18" s="13">
        <v>2016</v>
      </c>
      <c r="B18" s="286">
        <v>32.9</v>
      </c>
      <c r="C18" s="286">
        <v>29</v>
      </c>
    </row>
    <row r="19" spans="1:3">
      <c r="A19" s="13">
        <v>2017</v>
      </c>
      <c r="B19" s="286">
        <v>32.9</v>
      </c>
      <c r="C19" s="286">
        <v>29.299999237060501</v>
      </c>
    </row>
    <row r="20" spans="1:3">
      <c r="A20" s="13">
        <v>2018</v>
      </c>
      <c r="B20" s="286">
        <v>33</v>
      </c>
      <c r="C20" s="286">
        <v>29.600000381469702</v>
      </c>
    </row>
    <row r="21" spans="1:3">
      <c r="A21" s="13">
        <v>2019</v>
      </c>
      <c r="B21" s="286">
        <v>33.200000000000003</v>
      </c>
      <c r="C21" s="286">
        <v>29.899999618530199</v>
      </c>
    </row>
    <row r="24" spans="1:3">
      <c r="A24" s="357" t="s">
        <v>25</v>
      </c>
      <c r="B24" s="333" t="s">
        <v>617</v>
      </c>
    </row>
  </sheetData>
  <hyperlinks>
    <hyperlink ref="B24" r:id="rId1" display="https://www.who.int/data/gho/data/indicators" xr:uid="{55FE2F6F-9C14-4157-9057-F9D002C98667}"/>
  </hyperlinks>
  <pageMargins left="0.7" right="0.7" top="0.75" bottom="0.75" header="0.3" footer="0.3"/>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2173-D225-4B3A-8300-35EF71FB5D15}">
  <sheetPr codeName="Sheet19">
    <tabColor theme="6" tint="0.39997558519241921"/>
  </sheetPr>
  <dimension ref="A1:D31"/>
  <sheetViews>
    <sheetView showGridLines="0" zoomScale="70" zoomScaleNormal="70" workbookViewId="0">
      <pane xSplit="1" ySplit="2" topLeftCell="B3" activePane="bottomRight" state="frozen"/>
      <selection pane="topRight"/>
      <selection pane="bottomLeft"/>
      <selection pane="bottomRight" activeCell="C1" sqref="C1:D1"/>
    </sheetView>
  </sheetViews>
  <sheetFormatPr defaultColWidth="8.81640625" defaultRowHeight="14.5"/>
  <cols>
    <col min="1" max="1" width="16.453125" style="63" customWidth="1"/>
    <col min="2" max="2" width="11.54296875" style="63" customWidth="1"/>
    <col min="3" max="3" width="27" style="63" customWidth="1"/>
    <col min="4" max="4" width="25.453125" style="63" bestFit="1" customWidth="1"/>
    <col min="5" max="16384" width="8.81640625" style="63"/>
  </cols>
  <sheetData>
    <row r="1" spans="1:4" ht="16">
      <c r="B1" s="68"/>
      <c r="C1" s="465" t="s">
        <v>172</v>
      </c>
      <c r="D1" s="465"/>
    </row>
    <row r="2" spans="1:4" ht="36" customHeight="1">
      <c r="A2" s="83" t="s">
        <v>113</v>
      </c>
      <c r="B2" s="84" t="s">
        <v>104</v>
      </c>
      <c r="C2" s="85" t="s">
        <v>173</v>
      </c>
      <c r="D2" s="86" t="s">
        <v>102</v>
      </c>
    </row>
    <row r="3" spans="1:4">
      <c r="A3" s="258" t="s">
        <v>67</v>
      </c>
      <c r="B3" s="262">
        <v>2000</v>
      </c>
      <c r="C3" s="263">
        <v>246.09360000000001</v>
      </c>
      <c r="D3" s="88">
        <v>19973</v>
      </c>
    </row>
    <row r="4" spans="1:4">
      <c r="A4" s="66" t="s">
        <v>67</v>
      </c>
      <c r="B4" s="71">
        <v>2005</v>
      </c>
      <c r="C4" s="87">
        <v>216.7972</v>
      </c>
      <c r="D4" s="88">
        <v>18804</v>
      </c>
    </row>
    <row r="5" spans="1:4">
      <c r="A5" s="66" t="s">
        <v>67</v>
      </c>
      <c r="B5" s="71">
        <v>2010</v>
      </c>
      <c r="C5" s="87">
        <v>173.33250000000001</v>
      </c>
      <c r="D5" s="88">
        <v>17311</v>
      </c>
    </row>
    <row r="6" spans="1:4">
      <c r="A6" s="66" t="s">
        <v>67</v>
      </c>
      <c r="B6" s="71">
        <v>2015</v>
      </c>
      <c r="C6" s="87">
        <v>146.2313</v>
      </c>
      <c r="D6" s="88">
        <v>15464</v>
      </c>
    </row>
    <row r="7" spans="1:4">
      <c r="A7" s="258" t="s">
        <v>67</v>
      </c>
      <c r="B7" s="262">
        <v>2020</v>
      </c>
      <c r="C7" s="263">
        <v>139.25069999999999</v>
      </c>
      <c r="D7" s="88">
        <v>14431</v>
      </c>
    </row>
    <row r="8" spans="1:4">
      <c r="A8" s="66" t="s">
        <v>144</v>
      </c>
      <c r="B8" s="71">
        <v>2000</v>
      </c>
      <c r="C8" s="87">
        <v>21.189869999999999</v>
      </c>
      <c r="D8" s="88">
        <v>164</v>
      </c>
    </row>
    <row r="9" spans="1:4">
      <c r="A9" s="66" t="s">
        <v>144</v>
      </c>
      <c r="B9" s="71">
        <v>2005</v>
      </c>
      <c r="C9" s="87">
        <v>16.69595</v>
      </c>
      <c r="D9" s="88">
        <v>125</v>
      </c>
    </row>
    <row r="10" spans="1:4">
      <c r="A10" s="66" t="s">
        <v>144</v>
      </c>
      <c r="B10" s="71">
        <v>2010</v>
      </c>
      <c r="C10" s="87">
        <v>14.3794</v>
      </c>
      <c r="D10" s="88">
        <v>133</v>
      </c>
    </row>
    <row r="11" spans="1:4">
      <c r="A11" s="66" t="s">
        <v>144</v>
      </c>
      <c r="B11" s="71">
        <v>2015</v>
      </c>
      <c r="C11" s="87">
        <v>14.31147</v>
      </c>
      <c r="D11" s="88">
        <v>132</v>
      </c>
    </row>
    <row r="12" spans="1:4">
      <c r="A12" s="66" t="s">
        <v>144</v>
      </c>
      <c r="B12" s="71">
        <v>2020</v>
      </c>
      <c r="C12" s="87">
        <v>14.94143</v>
      </c>
      <c r="D12" s="88">
        <v>143</v>
      </c>
    </row>
    <row r="13" spans="1:4">
      <c r="A13" s="66" t="s">
        <v>119</v>
      </c>
      <c r="B13" s="71">
        <v>2000</v>
      </c>
      <c r="C13" s="87">
        <v>180.0016</v>
      </c>
      <c r="D13" s="88">
        <v>2722</v>
      </c>
    </row>
    <row r="14" spans="1:4">
      <c r="A14" s="66" t="s">
        <v>119</v>
      </c>
      <c r="B14" s="71">
        <v>2005</v>
      </c>
      <c r="C14" s="87">
        <v>148.4753</v>
      </c>
      <c r="D14" s="88">
        <v>2468</v>
      </c>
    </row>
    <row r="15" spans="1:4">
      <c r="A15" s="66" t="s">
        <v>119</v>
      </c>
      <c r="B15" s="71">
        <v>2010</v>
      </c>
      <c r="C15" s="87">
        <v>109.83669999999999</v>
      </c>
      <c r="D15" s="88">
        <v>2085</v>
      </c>
    </row>
    <row r="16" spans="1:4">
      <c r="A16" s="66" t="s">
        <v>119</v>
      </c>
      <c r="B16" s="71">
        <v>2015</v>
      </c>
      <c r="C16" s="87">
        <v>87.302220000000005</v>
      </c>
      <c r="D16" s="88">
        <v>1761</v>
      </c>
    </row>
    <row r="17" spans="1:4">
      <c r="A17" s="66" t="s">
        <v>119</v>
      </c>
      <c r="B17" s="71">
        <v>2020</v>
      </c>
      <c r="C17" s="87">
        <v>73.281850000000006</v>
      </c>
      <c r="D17" s="88">
        <v>1392</v>
      </c>
    </row>
    <row r="18" spans="1:4">
      <c r="A18" s="66" t="s">
        <v>120</v>
      </c>
      <c r="B18" s="71">
        <v>2000</v>
      </c>
      <c r="C18" s="87">
        <v>80.430109999999999</v>
      </c>
      <c r="D18" s="88">
        <v>2870</v>
      </c>
    </row>
    <row r="19" spans="1:4">
      <c r="A19" s="66" t="s">
        <v>120</v>
      </c>
      <c r="B19" s="71">
        <v>2005</v>
      </c>
      <c r="C19" s="87">
        <v>66.51679</v>
      </c>
      <c r="D19" s="88">
        <v>2613</v>
      </c>
    </row>
    <row r="20" spans="1:4">
      <c r="A20" s="66" t="s">
        <v>120</v>
      </c>
      <c r="B20" s="71">
        <v>2010</v>
      </c>
      <c r="C20" s="87">
        <v>54.377719999999997</v>
      </c>
      <c r="D20" s="88">
        <v>2417</v>
      </c>
    </row>
    <row r="21" spans="1:4">
      <c r="A21" s="66" t="s">
        <v>120</v>
      </c>
      <c r="B21" s="71">
        <v>2015</v>
      </c>
      <c r="C21" s="87">
        <v>45.171619999999997</v>
      </c>
      <c r="D21" s="88">
        <v>2142</v>
      </c>
    </row>
    <row r="22" spans="1:4">
      <c r="A22" s="66" t="s">
        <v>120</v>
      </c>
      <c r="B22" s="71">
        <v>2020</v>
      </c>
      <c r="C22" s="87">
        <v>35.347439999999999</v>
      </c>
      <c r="D22" s="88">
        <v>1588</v>
      </c>
    </row>
    <row r="23" spans="1:4">
      <c r="A23" s="66" t="s">
        <v>121</v>
      </c>
      <c r="B23" s="71">
        <v>2000</v>
      </c>
      <c r="C23" s="87">
        <v>622.53229999999996</v>
      </c>
      <c r="D23" s="88">
        <v>14217</v>
      </c>
    </row>
    <row r="24" spans="1:4">
      <c r="A24" s="66" t="s">
        <v>121</v>
      </c>
      <c r="B24" s="71">
        <v>2005</v>
      </c>
      <c r="C24" s="87">
        <v>552.71780000000001</v>
      </c>
      <c r="D24" s="88">
        <v>13598</v>
      </c>
    </row>
    <row r="25" spans="1:4">
      <c r="A25" s="66" t="s">
        <v>121</v>
      </c>
      <c r="B25" s="71">
        <v>2010</v>
      </c>
      <c r="C25" s="87">
        <v>445.02600000000001</v>
      </c>
      <c r="D25" s="88">
        <v>12676</v>
      </c>
    </row>
    <row r="26" spans="1:4">
      <c r="A26" s="66" t="s">
        <v>121</v>
      </c>
      <c r="B26" s="71">
        <v>2015</v>
      </c>
      <c r="C26" s="87">
        <v>369.9914</v>
      </c>
      <c r="D26" s="88">
        <v>11429</v>
      </c>
    </row>
    <row r="27" spans="1:4">
      <c r="A27" s="258" t="s">
        <v>121</v>
      </c>
      <c r="B27" s="262">
        <v>2020</v>
      </c>
      <c r="C27" s="263">
        <v>339.38099999999997</v>
      </c>
      <c r="D27" s="88">
        <v>11308</v>
      </c>
    </row>
    <row r="28" spans="1:4">
      <c r="B28" s="68"/>
      <c r="C28" s="89"/>
      <c r="D28" s="90"/>
    </row>
    <row r="29" spans="1:4">
      <c r="A29" s="466" t="s">
        <v>54</v>
      </c>
      <c r="B29" s="467"/>
      <c r="C29" s="91" t="s">
        <v>174</v>
      </c>
      <c r="D29" s="92" t="s">
        <v>175</v>
      </c>
    </row>
    <row r="31" spans="1:4">
      <c r="A31" s="63" t="s">
        <v>176</v>
      </c>
      <c r="D31" s="63" t="s">
        <v>164</v>
      </c>
    </row>
  </sheetData>
  <mergeCells count="2">
    <mergeCell ref="C1:D1"/>
    <mergeCell ref="A29:B29"/>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84F9E-EBEA-4819-BD9B-A4F3D68261D6}">
  <sheetPr codeName="Sheet20">
    <tabColor theme="6" tint="0.39997558519241921"/>
  </sheetPr>
  <dimension ref="A1:F43"/>
  <sheetViews>
    <sheetView showGridLines="0" zoomScale="80" zoomScaleNormal="80" workbookViewId="0">
      <pane xSplit="1" ySplit="3" topLeftCell="B4" activePane="bottomRight" state="frozen"/>
      <selection pane="topRight"/>
      <selection pane="bottomLeft"/>
      <selection pane="bottomRight" activeCell="A2" sqref="A2"/>
    </sheetView>
  </sheetViews>
  <sheetFormatPr defaultRowHeight="14.5"/>
  <cols>
    <col min="1" max="1" width="13.81640625" bestFit="1" customWidth="1"/>
    <col min="2" max="2" width="14.54296875" customWidth="1"/>
    <col min="3" max="3" width="18.54296875" customWidth="1"/>
  </cols>
  <sheetData>
    <row r="1" spans="1:6" ht="14.5" customHeight="1">
      <c r="A1" s="76"/>
      <c r="B1" s="468" t="s">
        <v>177</v>
      </c>
      <c r="C1" s="468"/>
    </row>
    <row r="2" spans="1:6" ht="14.5" customHeight="1">
      <c r="A2" s="76"/>
      <c r="B2" s="468"/>
      <c r="C2" s="468"/>
      <c r="F2" t="s">
        <v>231</v>
      </c>
    </row>
    <row r="3" spans="1:6" ht="14.5" customHeight="1">
      <c r="A3" s="93" t="s">
        <v>113</v>
      </c>
      <c r="B3" s="94" t="s">
        <v>104</v>
      </c>
      <c r="C3" s="95" t="s">
        <v>167</v>
      </c>
    </row>
    <row r="4" spans="1:6">
      <c r="A4" s="264" t="s">
        <v>67</v>
      </c>
      <c r="B4" s="254">
        <v>2000</v>
      </c>
      <c r="C4" s="265">
        <v>62.2</v>
      </c>
    </row>
    <row r="5" spans="1:6">
      <c r="A5" s="96" t="s">
        <v>67</v>
      </c>
      <c r="B5" s="44">
        <v>2005</v>
      </c>
      <c r="C5" s="97">
        <v>70.3</v>
      </c>
    </row>
    <row r="6" spans="1:6">
      <c r="A6" s="96" t="s">
        <v>67</v>
      </c>
      <c r="B6" s="44">
        <v>2010</v>
      </c>
      <c r="C6" s="97">
        <v>78</v>
      </c>
    </row>
    <row r="7" spans="1:6">
      <c r="A7" s="96" t="s">
        <v>67</v>
      </c>
      <c r="B7" s="44">
        <v>2015</v>
      </c>
      <c r="C7" s="97">
        <v>83.4</v>
      </c>
    </row>
    <row r="8" spans="1:6">
      <c r="A8" s="96" t="s">
        <v>67</v>
      </c>
      <c r="B8" s="44">
        <v>2020</v>
      </c>
      <c r="C8" s="97">
        <v>86.7</v>
      </c>
    </row>
    <row r="9" spans="1:6">
      <c r="A9" s="96" t="s">
        <v>67</v>
      </c>
      <c r="B9" s="44">
        <v>2021</v>
      </c>
      <c r="C9" s="97">
        <v>87.3</v>
      </c>
    </row>
    <row r="10" spans="1:6">
      <c r="A10" s="96" t="s">
        <v>67</v>
      </c>
      <c r="B10" s="44">
        <v>2022</v>
      </c>
      <c r="C10" s="97">
        <v>87.9</v>
      </c>
    </row>
    <row r="11" spans="1:6">
      <c r="A11" s="264" t="s">
        <v>67</v>
      </c>
      <c r="B11" s="254">
        <v>2023</v>
      </c>
      <c r="C11" s="265">
        <v>88.4</v>
      </c>
    </row>
    <row r="12" spans="1:6">
      <c r="A12" s="96" t="s">
        <v>144</v>
      </c>
      <c r="B12" s="44">
        <v>2000</v>
      </c>
      <c r="C12" s="97">
        <v>94.5</v>
      </c>
    </row>
    <row r="13" spans="1:6">
      <c r="A13" s="96" t="s">
        <v>144</v>
      </c>
      <c r="B13" s="44">
        <v>2005</v>
      </c>
      <c r="C13" s="97">
        <v>96.6</v>
      </c>
    </row>
    <row r="14" spans="1:6">
      <c r="A14" s="96" t="s">
        <v>144</v>
      </c>
      <c r="B14" s="44">
        <v>2010</v>
      </c>
      <c r="C14" s="97">
        <v>98</v>
      </c>
    </row>
    <row r="15" spans="1:6">
      <c r="A15" s="96" t="s">
        <v>144</v>
      </c>
      <c r="B15" s="44">
        <v>2015</v>
      </c>
      <c r="C15" s="97">
        <v>98.9</v>
      </c>
    </row>
    <row r="16" spans="1:6">
      <c r="A16" s="96" t="s">
        <v>144</v>
      </c>
      <c r="B16" s="44">
        <v>2020</v>
      </c>
      <c r="C16" s="97">
        <v>99.4</v>
      </c>
    </row>
    <row r="17" spans="1:3">
      <c r="A17" s="96" t="s">
        <v>144</v>
      </c>
      <c r="B17" s="44">
        <v>2021</v>
      </c>
      <c r="C17" s="97">
        <v>99.5</v>
      </c>
    </row>
    <row r="18" spans="1:3">
      <c r="A18" s="96" t="s">
        <v>144</v>
      </c>
      <c r="B18" s="44">
        <v>2022</v>
      </c>
      <c r="C18" s="97">
        <v>99.6</v>
      </c>
    </row>
    <row r="19" spans="1:3">
      <c r="A19" s="96" t="s">
        <v>144</v>
      </c>
      <c r="B19" s="44">
        <v>2023</v>
      </c>
      <c r="C19" s="97">
        <v>99.6</v>
      </c>
    </row>
    <row r="20" spans="1:3">
      <c r="A20" s="96" t="s">
        <v>119</v>
      </c>
      <c r="B20" s="44">
        <v>2000</v>
      </c>
      <c r="C20" s="97">
        <v>74.7</v>
      </c>
    </row>
    <row r="21" spans="1:3">
      <c r="A21" s="96" t="s">
        <v>119</v>
      </c>
      <c r="B21" s="44">
        <v>2005</v>
      </c>
      <c r="C21" s="97">
        <v>82.9</v>
      </c>
    </row>
    <row r="22" spans="1:3">
      <c r="A22" s="96" t="s">
        <v>119</v>
      </c>
      <c r="B22" s="44">
        <v>2010</v>
      </c>
      <c r="C22" s="97">
        <v>88.1</v>
      </c>
    </row>
    <row r="23" spans="1:3">
      <c r="A23" s="96" t="s">
        <v>119</v>
      </c>
      <c r="B23" s="44">
        <v>2015</v>
      </c>
      <c r="C23" s="97">
        <v>92.2</v>
      </c>
    </row>
    <row r="24" spans="1:3">
      <c r="A24" s="96" t="s">
        <v>119</v>
      </c>
      <c r="B24" s="44">
        <v>2020</v>
      </c>
      <c r="C24" s="97">
        <v>95.7</v>
      </c>
    </row>
    <row r="25" spans="1:3">
      <c r="A25" s="96" t="s">
        <v>119</v>
      </c>
      <c r="B25" s="44">
        <v>2021</v>
      </c>
      <c r="C25" s="97">
        <v>96.1</v>
      </c>
    </row>
    <row r="26" spans="1:3">
      <c r="A26" s="96" t="s">
        <v>119</v>
      </c>
      <c r="B26" s="44">
        <v>2022</v>
      </c>
      <c r="C26" s="97">
        <v>96.5</v>
      </c>
    </row>
    <row r="27" spans="1:3">
      <c r="A27" s="96" t="s">
        <v>119</v>
      </c>
      <c r="B27" s="44">
        <v>2023</v>
      </c>
      <c r="C27" s="97">
        <v>96.8</v>
      </c>
    </row>
    <row r="28" spans="1:3">
      <c r="A28" s="96" t="s">
        <v>120</v>
      </c>
      <c r="B28" s="44">
        <v>2000</v>
      </c>
      <c r="C28" s="97">
        <v>70.5</v>
      </c>
    </row>
    <row r="29" spans="1:3">
      <c r="A29" s="96" t="s">
        <v>120</v>
      </c>
      <c r="B29" s="44">
        <v>2005</v>
      </c>
      <c r="C29" s="97">
        <v>80.3</v>
      </c>
    </row>
    <row r="30" spans="1:3">
      <c r="A30" s="96" t="s">
        <v>120</v>
      </c>
      <c r="B30" s="44">
        <v>2010</v>
      </c>
      <c r="C30" s="97">
        <v>87.9</v>
      </c>
    </row>
    <row r="31" spans="1:3">
      <c r="A31" s="96" t="s">
        <v>120</v>
      </c>
      <c r="B31" s="44">
        <v>2015</v>
      </c>
      <c r="C31" s="97">
        <v>93.4</v>
      </c>
    </row>
    <row r="32" spans="1:3">
      <c r="A32" s="96" t="s">
        <v>120</v>
      </c>
      <c r="B32" s="44">
        <v>2020</v>
      </c>
      <c r="C32" s="97">
        <v>96.7</v>
      </c>
    </row>
    <row r="33" spans="1:3">
      <c r="A33" s="96" t="s">
        <v>120</v>
      </c>
      <c r="B33" s="44">
        <v>2021</v>
      </c>
      <c r="C33" s="97">
        <v>97</v>
      </c>
    </row>
    <row r="34" spans="1:3">
      <c r="A34" s="96" t="s">
        <v>120</v>
      </c>
      <c r="B34" s="44">
        <v>2022</v>
      </c>
      <c r="C34" s="97">
        <v>97.4</v>
      </c>
    </row>
    <row r="35" spans="1:3">
      <c r="A35" s="96" t="s">
        <v>120</v>
      </c>
      <c r="B35" s="44">
        <v>2023</v>
      </c>
      <c r="C35" s="97">
        <v>97.7</v>
      </c>
    </row>
    <row r="36" spans="1:3">
      <c r="A36" s="264" t="s">
        <v>121</v>
      </c>
      <c r="B36" s="254">
        <v>2000</v>
      </c>
      <c r="C36" s="265">
        <v>30.3</v>
      </c>
    </row>
    <row r="37" spans="1:3">
      <c r="A37" s="96" t="s">
        <v>121</v>
      </c>
      <c r="B37" s="44">
        <v>2005</v>
      </c>
      <c r="C37" s="97">
        <v>38.6</v>
      </c>
    </row>
    <row r="38" spans="1:3">
      <c r="A38" s="96" t="s">
        <v>121</v>
      </c>
      <c r="B38" s="44">
        <v>2010</v>
      </c>
      <c r="C38" s="97">
        <v>49.9</v>
      </c>
    </row>
    <row r="39" spans="1:3">
      <c r="A39" s="96" t="s">
        <v>121</v>
      </c>
      <c r="B39" s="44">
        <v>2015</v>
      </c>
      <c r="C39" s="97">
        <v>58</v>
      </c>
    </row>
    <row r="40" spans="1:3">
      <c r="A40" s="96" t="s">
        <v>121</v>
      </c>
      <c r="B40" s="44">
        <v>2020</v>
      </c>
      <c r="C40" s="97">
        <v>65.2</v>
      </c>
    </row>
    <row r="41" spans="1:3">
      <c r="A41" s="96" t="s">
        <v>121</v>
      </c>
      <c r="B41" s="44">
        <v>2021</v>
      </c>
      <c r="C41" s="97">
        <v>66.7</v>
      </c>
    </row>
    <row r="42" spans="1:3">
      <c r="A42" s="96" t="s">
        <v>121</v>
      </c>
      <c r="B42" s="44">
        <v>2022</v>
      </c>
      <c r="C42" s="97">
        <v>68</v>
      </c>
    </row>
    <row r="43" spans="1:3">
      <c r="A43" s="264" t="s">
        <v>121</v>
      </c>
      <c r="B43" s="254">
        <v>2023</v>
      </c>
      <c r="C43" s="265">
        <v>69.3</v>
      </c>
    </row>
  </sheetData>
  <mergeCells count="1">
    <mergeCell ref="B1:C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B9041-469D-40BB-A888-9B360791BBB4}">
  <sheetPr>
    <tabColor theme="6" tint="0.39997558519241921"/>
  </sheetPr>
  <dimension ref="A1:G47"/>
  <sheetViews>
    <sheetView showGridLines="0" zoomScale="70" zoomScaleNormal="70" workbookViewId="0">
      <pane xSplit="2" ySplit="2" topLeftCell="C3" activePane="bottomRight" state="frozen"/>
      <selection pane="topRight" activeCell="C1" sqref="C1"/>
      <selection pane="bottomLeft" activeCell="A3" sqref="A3"/>
      <selection pane="bottomRight" activeCell="E1" sqref="E1"/>
    </sheetView>
  </sheetViews>
  <sheetFormatPr defaultRowHeight="14.5"/>
  <cols>
    <col min="1" max="1" width="18.54296875" customWidth="1"/>
    <col min="2" max="2" width="12.54296875" customWidth="1"/>
    <col min="3" max="3" width="14" customWidth="1"/>
    <col min="5" max="5" width="12.1796875" bestFit="1" customWidth="1"/>
  </cols>
  <sheetData>
    <row r="1" spans="1:7" ht="44.15" customHeight="1">
      <c r="A1" s="469" t="s">
        <v>209</v>
      </c>
      <c r="B1" s="470"/>
      <c r="C1" s="471"/>
      <c r="E1" s="62" t="s">
        <v>210</v>
      </c>
    </row>
    <row r="2" spans="1:7">
      <c r="A2" s="35" t="s">
        <v>113</v>
      </c>
      <c r="B2" s="44" t="s">
        <v>104</v>
      </c>
      <c r="C2" s="35" t="s">
        <v>167</v>
      </c>
    </row>
    <row r="3" spans="1:7">
      <c r="A3" s="228" t="s">
        <v>67</v>
      </c>
      <c r="B3" s="254">
        <v>2000</v>
      </c>
      <c r="C3" s="266">
        <v>57.8</v>
      </c>
      <c r="E3" t="s">
        <v>110</v>
      </c>
      <c r="F3">
        <v>2000</v>
      </c>
      <c r="G3">
        <v>73.699996948242102</v>
      </c>
    </row>
    <row r="4" spans="1:7">
      <c r="A4" s="35" t="s">
        <v>67</v>
      </c>
      <c r="B4" s="44">
        <v>2005</v>
      </c>
      <c r="C4" s="105">
        <v>60.4</v>
      </c>
      <c r="E4" t="s">
        <v>110</v>
      </c>
      <c r="F4">
        <v>2005</v>
      </c>
      <c r="G4">
        <v>74.900001525878906</v>
      </c>
    </row>
    <row r="5" spans="1:7">
      <c r="A5" s="35" t="s">
        <v>67</v>
      </c>
      <c r="B5" s="44">
        <v>2010</v>
      </c>
      <c r="C5" s="105">
        <v>61.4</v>
      </c>
      <c r="E5" t="s">
        <v>110</v>
      </c>
      <c r="F5">
        <v>2010</v>
      </c>
      <c r="G5">
        <v>75.800003051757798</v>
      </c>
    </row>
    <row r="6" spans="1:7">
      <c r="A6" s="35" t="s">
        <v>67</v>
      </c>
      <c r="B6" s="44">
        <v>2015</v>
      </c>
      <c r="C6" s="105">
        <v>62</v>
      </c>
      <c r="E6" t="s">
        <v>110</v>
      </c>
      <c r="F6">
        <v>2015</v>
      </c>
      <c r="G6">
        <v>76.5</v>
      </c>
    </row>
    <row r="7" spans="1:7">
      <c r="A7" s="35" t="s">
        <v>67</v>
      </c>
      <c r="B7" s="44">
        <v>2020</v>
      </c>
      <c r="C7" s="105">
        <v>63.1</v>
      </c>
      <c r="E7" t="s">
        <v>110</v>
      </c>
      <c r="F7">
        <v>2020</v>
      </c>
      <c r="G7">
        <v>77.199996948242102</v>
      </c>
    </row>
    <row r="8" spans="1:7">
      <c r="A8" s="35" t="s">
        <v>67</v>
      </c>
      <c r="B8" s="44">
        <v>2021</v>
      </c>
      <c r="C8" s="105">
        <v>63.4</v>
      </c>
      <c r="E8" t="s">
        <v>110</v>
      </c>
      <c r="F8">
        <v>2021</v>
      </c>
      <c r="G8">
        <v>77.400001525878906</v>
      </c>
    </row>
    <row r="9" spans="1:7">
      <c r="A9" s="35" t="s">
        <v>67</v>
      </c>
      <c r="B9" s="44">
        <v>2022</v>
      </c>
      <c r="C9" s="105">
        <v>63.8</v>
      </c>
      <c r="E9" t="s">
        <v>110</v>
      </c>
      <c r="F9">
        <v>2022</v>
      </c>
      <c r="G9">
        <v>77.5</v>
      </c>
    </row>
    <row r="10" spans="1:7">
      <c r="A10" s="35" t="s">
        <v>67</v>
      </c>
      <c r="B10" s="44">
        <v>2023</v>
      </c>
      <c r="C10" s="105">
        <v>64.099999999999994</v>
      </c>
      <c r="E10" t="s">
        <v>110</v>
      </c>
      <c r="F10">
        <v>2023</v>
      </c>
      <c r="G10">
        <v>77.599998474120994</v>
      </c>
    </row>
    <row r="11" spans="1:7">
      <c r="A11" s="228" t="s">
        <v>67</v>
      </c>
      <c r="B11" s="254">
        <v>2024</v>
      </c>
      <c r="C11" s="266">
        <v>64.400000000000006</v>
      </c>
      <c r="E11" s="267" t="s">
        <v>110</v>
      </c>
      <c r="F11" s="267">
        <v>2024</v>
      </c>
      <c r="G11" s="267">
        <v>77.599998474120994</v>
      </c>
    </row>
    <row r="12" spans="1:7">
      <c r="A12" s="35" t="s">
        <v>144</v>
      </c>
      <c r="B12" s="44">
        <v>2000</v>
      </c>
      <c r="C12" s="105">
        <v>43.3</v>
      </c>
    </row>
    <row r="13" spans="1:7">
      <c r="A13" s="35" t="s">
        <v>144</v>
      </c>
      <c r="B13" s="44">
        <v>2005</v>
      </c>
      <c r="C13" s="105">
        <v>44</v>
      </c>
    </row>
    <row r="14" spans="1:7">
      <c r="A14" s="35" t="s">
        <v>144</v>
      </c>
      <c r="B14" s="44">
        <v>2010</v>
      </c>
      <c r="C14" s="105">
        <v>45.9</v>
      </c>
    </row>
    <row r="15" spans="1:7">
      <c r="A15" s="35" t="s">
        <v>144</v>
      </c>
      <c r="B15" s="44">
        <v>2015</v>
      </c>
      <c r="C15" s="105">
        <v>47.7</v>
      </c>
    </row>
    <row r="16" spans="1:7">
      <c r="A16" s="35" t="s">
        <v>144</v>
      </c>
      <c r="B16" s="44">
        <v>2020</v>
      </c>
      <c r="C16" s="105">
        <v>50.8</v>
      </c>
    </row>
    <row r="17" spans="1:3">
      <c r="A17" s="35" t="s">
        <v>144</v>
      </c>
      <c r="B17" s="44">
        <v>2021</v>
      </c>
      <c r="C17" s="105">
        <v>51.3</v>
      </c>
    </row>
    <row r="18" spans="1:3">
      <c r="A18" s="35" t="s">
        <v>144</v>
      </c>
      <c r="B18" s="44">
        <v>2022</v>
      </c>
      <c r="C18" s="105">
        <v>52</v>
      </c>
    </row>
    <row r="19" spans="1:3">
      <c r="A19" s="35" t="s">
        <v>144</v>
      </c>
      <c r="B19" s="44">
        <v>2023</v>
      </c>
      <c r="C19" s="105">
        <v>52.5</v>
      </c>
    </row>
    <row r="20" spans="1:3">
      <c r="A20" s="35" t="s">
        <v>144</v>
      </c>
      <c r="B20" s="44">
        <v>2024</v>
      </c>
      <c r="C20" s="105">
        <v>53</v>
      </c>
    </row>
    <row r="21" spans="1:3">
      <c r="A21" s="35" t="s">
        <v>119</v>
      </c>
      <c r="B21" s="44">
        <v>2000</v>
      </c>
      <c r="C21" s="105">
        <v>67.099999999999994</v>
      </c>
    </row>
    <row r="22" spans="1:3">
      <c r="A22" s="35" t="s">
        <v>119</v>
      </c>
      <c r="B22" s="44">
        <v>2005</v>
      </c>
      <c r="C22" s="105">
        <v>68.5</v>
      </c>
    </row>
    <row r="23" spans="1:3">
      <c r="A23" s="35" t="s">
        <v>119</v>
      </c>
      <c r="B23" s="44">
        <v>2010</v>
      </c>
      <c r="C23" s="105">
        <v>68.599999999999994</v>
      </c>
    </row>
    <row r="24" spans="1:3">
      <c r="A24" s="35" t="s">
        <v>119</v>
      </c>
      <c r="B24" s="44">
        <v>2015</v>
      </c>
      <c r="C24" s="105">
        <v>68.7</v>
      </c>
    </row>
    <row r="25" spans="1:3">
      <c r="A25" s="35" t="s">
        <v>119</v>
      </c>
      <c r="B25" s="44">
        <v>2020</v>
      </c>
      <c r="C25" s="105">
        <v>69.2</v>
      </c>
    </row>
    <row r="26" spans="1:3">
      <c r="A26" s="35" t="s">
        <v>119</v>
      </c>
      <c r="B26" s="44">
        <v>2021</v>
      </c>
      <c r="C26" s="105">
        <v>69.599999999999994</v>
      </c>
    </row>
    <row r="27" spans="1:3">
      <c r="A27" s="35" t="s">
        <v>119</v>
      </c>
      <c r="B27" s="44">
        <v>2022</v>
      </c>
      <c r="C27" s="105">
        <v>70</v>
      </c>
    </row>
    <row r="28" spans="1:3">
      <c r="A28" s="35" t="s">
        <v>119</v>
      </c>
      <c r="B28" s="44">
        <v>2023</v>
      </c>
      <c r="C28" s="105">
        <v>70.3</v>
      </c>
    </row>
    <row r="29" spans="1:3">
      <c r="A29" s="35" t="s">
        <v>119</v>
      </c>
      <c r="B29" s="44">
        <v>2024</v>
      </c>
      <c r="C29" s="105">
        <v>70.7</v>
      </c>
    </row>
    <row r="30" spans="1:3">
      <c r="A30" s="35" t="s">
        <v>120</v>
      </c>
      <c r="B30" s="44">
        <v>2000</v>
      </c>
      <c r="C30" s="105">
        <v>65.900000000000006</v>
      </c>
    </row>
    <row r="31" spans="1:3">
      <c r="A31" s="35" t="s">
        <v>120</v>
      </c>
      <c r="B31" s="44">
        <v>2005</v>
      </c>
      <c r="C31" s="105">
        <v>68.900000000000006</v>
      </c>
    </row>
    <row r="32" spans="1:3">
      <c r="A32" s="35" t="s">
        <v>120</v>
      </c>
      <c r="B32" s="44">
        <v>2010</v>
      </c>
      <c r="C32" s="105">
        <v>70.2</v>
      </c>
    </row>
    <row r="33" spans="1:3">
      <c r="A33" s="35" t="s">
        <v>120</v>
      </c>
      <c r="B33" s="44">
        <v>2015</v>
      </c>
      <c r="C33" s="105">
        <v>70.7</v>
      </c>
    </row>
    <row r="34" spans="1:3">
      <c r="A34" s="35" t="s">
        <v>120</v>
      </c>
      <c r="B34" s="44">
        <v>2020</v>
      </c>
      <c r="C34" s="105">
        <v>71.7</v>
      </c>
    </row>
    <row r="35" spans="1:3">
      <c r="A35" s="35" t="s">
        <v>120</v>
      </c>
      <c r="B35" s="44">
        <v>2021</v>
      </c>
      <c r="C35" s="105">
        <v>71.900000000000006</v>
      </c>
    </row>
    <row r="36" spans="1:3">
      <c r="A36" s="35" t="s">
        <v>120</v>
      </c>
      <c r="B36" s="44">
        <v>2022</v>
      </c>
      <c r="C36" s="105">
        <v>72.099999999999994</v>
      </c>
    </row>
    <row r="37" spans="1:3">
      <c r="A37" s="35" t="s">
        <v>120</v>
      </c>
      <c r="B37" s="44">
        <v>2023</v>
      </c>
      <c r="C37" s="105">
        <v>72.3</v>
      </c>
    </row>
    <row r="38" spans="1:3">
      <c r="A38" s="35" t="s">
        <v>120</v>
      </c>
      <c r="B38" s="44">
        <v>2024</v>
      </c>
      <c r="C38" s="105">
        <v>72.5</v>
      </c>
    </row>
    <row r="39" spans="1:3">
      <c r="A39" s="35" t="s">
        <v>121</v>
      </c>
      <c r="B39" s="44">
        <v>2000</v>
      </c>
      <c r="C39" s="105">
        <v>18.100000000000001</v>
      </c>
    </row>
    <row r="40" spans="1:3">
      <c r="A40" s="35" t="s">
        <v>121</v>
      </c>
      <c r="B40" s="44">
        <v>2005</v>
      </c>
      <c r="C40" s="105">
        <v>23.3</v>
      </c>
    </row>
    <row r="41" spans="1:3">
      <c r="A41" s="35" t="s">
        <v>121</v>
      </c>
      <c r="B41" s="44">
        <v>2010</v>
      </c>
      <c r="C41" s="105">
        <v>28.5</v>
      </c>
    </row>
    <row r="42" spans="1:3">
      <c r="A42" s="35" t="s">
        <v>121</v>
      </c>
      <c r="B42" s="44">
        <v>2015</v>
      </c>
      <c r="C42" s="105">
        <v>33.200000000000003</v>
      </c>
    </row>
    <row r="43" spans="1:3">
      <c r="A43" s="35" t="s">
        <v>121</v>
      </c>
      <c r="B43" s="44">
        <v>2020</v>
      </c>
      <c r="C43" s="105">
        <v>36.9</v>
      </c>
    </row>
    <row r="44" spans="1:3">
      <c r="A44" s="35" t="s">
        <v>121</v>
      </c>
      <c r="B44" s="44">
        <v>2021</v>
      </c>
      <c r="C44" s="105">
        <v>37.700000000000003</v>
      </c>
    </row>
    <row r="45" spans="1:3">
      <c r="A45" s="35" t="s">
        <v>121</v>
      </c>
      <c r="B45" s="44">
        <v>2022</v>
      </c>
      <c r="C45" s="105">
        <v>38.5</v>
      </c>
    </row>
    <row r="46" spans="1:3">
      <c r="A46" s="35" t="s">
        <v>121</v>
      </c>
      <c r="B46" s="44">
        <v>2023</v>
      </c>
      <c r="C46" s="105">
        <v>39.299999999999997</v>
      </c>
    </row>
    <row r="47" spans="1:3">
      <c r="A47" s="35" t="s">
        <v>121</v>
      </c>
      <c r="B47" s="44">
        <v>2024</v>
      </c>
      <c r="C47" s="105">
        <v>40.1</v>
      </c>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CF0F3-E4D1-438B-B3F2-E92710187CCF}">
  <sheetPr codeName="Sheet3">
    <tabColor theme="6" tint="0.39997558519241921"/>
  </sheetPr>
  <dimension ref="A1:U33"/>
  <sheetViews>
    <sheetView showGridLines="0" zoomScale="70" zoomScaleNormal="70" workbookViewId="0">
      <selection activeCell="C27" sqref="C27"/>
    </sheetView>
  </sheetViews>
  <sheetFormatPr defaultRowHeight="14.5"/>
  <cols>
    <col min="1" max="1" width="21.453125" customWidth="1"/>
    <col min="2" max="2" width="23.54296875" customWidth="1"/>
    <col min="3" max="4" width="20.453125" customWidth="1"/>
  </cols>
  <sheetData>
    <row r="1" spans="1:21" ht="43.5">
      <c r="A1" s="225" t="s">
        <v>4</v>
      </c>
      <c r="B1" s="12" t="s">
        <v>28</v>
      </c>
      <c r="C1" s="12" t="s">
        <v>29</v>
      </c>
      <c r="D1" s="12" t="s">
        <v>30</v>
      </c>
      <c r="U1" s="58"/>
    </row>
    <row r="2" spans="1:21">
      <c r="A2" s="13" t="s">
        <v>31</v>
      </c>
      <c r="B2" s="14">
        <v>50</v>
      </c>
      <c r="C2" s="14"/>
      <c r="D2" s="14">
        <v>11.1</v>
      </c>
      <c r="U2" s="58"/>
    </row>
    <row r="3" spans="1:21">
      <c r="A3" s="13" t="s">
        <v>32</v>
      </c>
      <c r="B3" s="14">
        <v>29.2</v>
      </c>
      <c r="C3" s="14">
        <v>25.7</v>
      </c>
      <c r="D3" s="14">
        <v>13</v>
      </c>
      <c r="U3" s="58"/>
    </row>
    <row r="4" spans="1:21">
      <c r="A4" s="13" t="s">
        <v>33</v>
      </c>
      <c r="B4" s="14">
        <v>27.7</v>
      </c>
      <c r="C4" s="14"/>
      <c r="D4" s="14">
        <v>18.8</v>
      </c>
      <c r="U4" s="58"/>
    </row>
    <row r="5" spans="1:21">
      <c r="A5" s="13" t="s">
        <v>34</v>
      </c>
      <c r="B5" s="14">
        <v>26.2</v>
      </c>
      <c r="C5" s="14">
        <v>28.86598</v>
      </c>
      <c r="D5" s="14">
        <v>21.5</v>
      </c>
      <c r="U5" s="58"/>
    </row>
    <row r="6" spans="1:21">
      <c r="A6" s="13" t="s">
        <v>35</v>
      </c>
      <c r="B6" s="14">
        <v>24.3</v>
      </c>
      <c r="C6" s="14">
        <v>27.231159999999999</v>
      </c>
      <c r="D6" s="14">
        <v>26.3</v>
      </c>
      <c r="U6" s="58"/>
    </row>
    <row r="7" spans="1:21">
      <c r="A7" s="13" t="s">
        <v>36</v>
      </c>
      <c r="B7" s="14">
        <v>23.3</v>
      </c>
      <c r="C7" s="14">
        <v>31.372070000000001</v>
      </c>
      <c r="D7" s="14">
        <v>18.2</v>
      </c>
      <c r="U7" s="58"/>
    </row>
    <row r="8" spans="1:21">
      <c r="A8" s="13" t="s">
        <v>37</v>
      </c>
      <c r="B8" s="14">
        <v>20</v>
      </c>
      <c r="C8" s="14">
        <v>10</v>
      </c>
      <c r="D8" s="14">
        <v>21.7</v>
      </c>
      <c r="U8" s="58"/>
    </row>
    <row r="9" spans="1:21">
      <c r="A9" s="13" t="s">
        <v>38</v>
      </c>
      <c r="B9" s="14">
        <v>19.899999999999999</v>
      </c>
      <c r="C9" s="14">
        <v>1.2040599999999999</v>
      </c>
      <c r="D9" s="14">
        <v>0</v>
      </c>
      <c r="U9" s="58"/>
    </row>
    <row r="10" spans="1:21">
      <c r="A10" s="13" t="s">
        <v>39</v>
      </c>
      <c r="B10" s="14">
        <v>19.600000000000001</v>
      </c>
      <c r="C10" s="14"/>
      <c r="D10" s="14">
        <v>12</v>
      </c>
      <c r="U10" s="58"/>
    </row>
    <row r="11" spans="1:21">
      <c r="A11" s="13" t="s">
        <v>40</v>
      </c>
      <c r="B11" s="14">
        <v>16.7</v>
      </c>
      <c r="C11" s="14">
        <v>33.301439999999999</v>
      </c>
      <c r="D11" s="14">
        <v>7.7</v>
      </c>
      <c r="U11" s="58"/>
    </row>
    <row r="12" spans="1:21">
      <c r="A12" s="13" t="s">
        <v>41</v>
      </c>
      <c r="B12" s="14">
        <v>16.5</v>
      </c>
      <c r="C12" s="14">
        <v>14.28571</v>
      </c>
      <c r="D12" s="14">
        <v>15.4</v>
      </c>
      <c r="U12" s="58"/>
    </row>
    <row r="13" spans="1:21">
      <c r="A13" s="13" t="s">
        <v>42</v>
      </c>
      <c r="B13" s="14">
        <v>15.7</v>
      </c>
      <c r="C13" s="14">
        <v>48.488630000000001</v>
      </c>
      <c r="D13" s="14">
        <v>36.4</v>
      </c>
      <c r="U13" s="58"/>
    </row>
    <row r="14" spans="1:21">
      <c r="A14" s="13" t="s">
        <v>43</v>
      </c>
      <c r="B14" s="14">
        <v>13.1</v>
      </c>
      <c r="C14" s="14">
        <v>24.943819999999999</v>
      </c>
      <c r="D14" s="14">
        <v>22.2</v>
      </c>
      <c r="U14" s="58"/>
    </row>
    <row r="15" spans="1:21">
      <c r="A15" s="13" t="s">
        <v>44</v>
      </c>
      <c r="B15" s="14">
        <v>10.4</v>
      </c>
      <c r="C15" s="14">
        <v>7.0937400000000004</v>
      </c>
      <c r="D15" s="14">
        <v>12</v>
      </c>
      <c r="U15" s="58"/>
    </row>
    <row r="16" spans="1:21">
      <c r="A16" s="13" t="s">
        <v>45</v>
      </c>
      <c r="B16" s="14">
        <v>7.9</v>
      </c>
      <c r="C16" s="14">
        <v>17.589289999999998</v>
      </c>
      <c r="D16" s="14">
        <v>14.3</v>
      </c>
      <c r="U16" s="58"/>
    </row>
    <row r="17" spans="1:21">
      <c r="A17" s="13" t="s">
        <v>46</v>
      </c>
      <c r="B17" s="14">
        <v>6.3</v>
      </c>
      <c r="C17" s="14">
        <v>3.97153</v>
      </c>
      <c r="D17" s="14">
        <v>4.5</v>
      </c>
      <c r="U17" s="58"/>
    </row>
    <row r="18" spans="1:21">
      <c r="A18" s="13" t="s">
        <v>47</v>
      </c>
      <c r="B18" s="14">
        <v>4.4000000000000004</v>
      </c>
      <c r="C18" s="14"/>
      <c r="D18" s="14">
        <v>15.8</v>
      </c>
      <c r="U18" s="58"/>
    </row>
    <row r="19" spans="1:21">
      <c r="A19" s="13" t="s">
        <v>48</v>
      </c>
      <c r="B19" s="14">
        <v>3.1</v>
      </c>
      <c r="C19" s="325"/>
      <c r="D19" s="14">
        <v>7.1</v>
      </c>
      <c r="U19" s="58"/>
    </row>
    <row r="20" spans="1:21">
      <c r="A20" s="13" t="s">
        <v>49</v>
      </c>
      <c r="B20" s="14">
        <v>0</v>
      </c>
      <c r="C20" s="14">
        <v>0.79364999999999997</v>
      </c>
      <c r="D20" s="14">
        <v>15</v>
      </c>
      <c r="U20" s="58"/>
    </row>
    <row r="21" spans="1:21">
      <c r="A21" s="13" t="s">
        <v>50</v>
      </c>
      <c r="B21" s="14">
        <v>0</v>
      </c>
      <c r="C21" s="14">
        <v>7.7</v>
      </c>
      <c r="D21" s="14"/>
      <c r="U21" s="58"/>
    </row>
    <row r="22" spans="1:21">
      <c r="A22" s="13" t="s">
        <v>51</v>
      </c>
      <c r="B22" s="14"/>
      <c r="C22" s="14">
        <v>21.037109999999998</v>
      </c>
      <c r="D22" s="14"/>
      <c r="U22" s="58"/>
    </row>
    <row r="23" spans="1:21">
      <c r="A23" s="13" t="s">
        <v>52</v>
      </c>
      <c r="B23" s="14"/>
      <c r="C23" s="14">
        <v>0.51849000000000001</v>
      </c>
      <c r="D23" s="14"/>
      <c r="U23" s="58"/>
    </row>
    <row r="24" spans="1:21">
      <c r="A24" s="15" t="s">
        <v>53</v>
      </c>
      <c r="B24" s="16">
        <v>17.728237791932099</v>
      </c>
      <c r="C24" s="16">
        <v>19.5</v>
      </c>
      <c r="D24" s="16">
        <v>16.277777777777779</v>
      </c>
      <c r="U24" s="58"/>
    </row>
    <row r="25" spans="1:21">
      <c r="A25" s="15" t="s">
        <v>23</v>
      </c>
      <c r="B25" s="16">
        <v>33.846153846153847</v>
      </c>
      <c r="C25" s="16">
        <v>33.074937999999996</v>
      </c>
      <c r="D25" s="16">
        <v>33.515384615384619</v>
      </c>
      <c r="U25" s="58"/>
    </row>
    <row r="26" spans="1:21">
      <c r="A26" s="15" t="s">
        <v>466</v>
      </c>
      <c r="B26" s="16">
        <v>26.9</v>
      </c>
      <c r="C26" s="16">
        <v>35.5</v>
      </c>
      <c r="D26" s="16">
        <v>23.3</v>
      </c>
      <c r="U26" s="58"/>
    </row>
    <row r="27" spans="1:21" ht="59.15" customHeight="1">
      <c r="A27" s="225" t="s">
        <v>54</v>
      </c>
      <c r="B27" s="347" t="s">
        <v>55</v>
      </c>
      <c r="C27" s="349" t="s">
        <v>607</v>
      </c>
      <c r="D27" s="348" t="s">
        <v>606</v>
      </c>
      <c r="U27" s="58"/>
    </row>
    <row r="28" spans="1:21">
      <c r="A28" t="s">
        <v>56</v>
      </c>
      <c r="U28" s="58"/>
    </row>
    <row r="29" spans="1:21">
      <c r="U29" s="58"/>
    </row>
    <row r="30" spans="1:21">
      <c r="U30" s="58"/>
    </row>
    <row r="31" spans="1:21">
      <c r="A31" s="346"/>
      <c r="U31" s="58"/>
    </row>
    <row r="32" spans="1:21">
      <c r="U32" s="58"/>
    </row>
    <row r="33" spans="21:21">
      <c r="U33" s="58"/>
    </row>
  </sheetData>
  <hyperlinks>
    <hyperlink ref="B27" r:id="rId1" xr:uid="{A227C9B0-8F3A-45B3-9C60-E7049A8C8278}"/>
    <hyperlink ref="D27" r:id="rId2" display="https://www.unwomen.org/en/digital-library/publications/2024/06/poster-women-political-leaders-2024" xr:uid="{34D51501-26E5-4C90-99B0-F445A6EAB48E}"/>
  </hyperlinks>
  <pageMargins left="0.7" right="0.7" top="0.75" bottom="0.75" header="0.3" footer="0.3"/>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6BA48-974B-4394-ACD2-F238446E9054}">
  <sheetPr codeName="Sheet22">
    <tabColor theme="6" tint="0.39997558519241921"/>
  </sheetPr>
  <dimension ref="A1:I47"/>
  <sheetViews>
    <sheetView showGridLines="0" zoomScale="80" zoomScaleNormal="80" workbookViewId="0">
      <pane xSplit="2" ySplit="2" topLeftCell="C3" activePane="bottomRight" state="frozen"/>
      <selection pane="topRight"/>
      <selection pane="bottomLeft"/>
      <selection pane="bottomRight"/>
    </sheetView>
  </sheetViews>
  <sheetFormatPr defaultRowHeight="14.5"/>
  <cols>
    <col min="1" max="1" width="13.81640625" customWidth="1"/>
    <col min="2" max="2" width="11" style="53" bestFit="1" customWidth="1"/>
    <col min="3" max="4" width="19.1796875" customWidth="1"/>
  </cols>
  <sheetData>
    <row r="1" spans="1:9">
      <c r="C1" s="472" t="s">
        <v>211</v>
      </c>
      <c r="D1" s="472"/>
      <c r="G1" s="62" t="s">
        <v>210</v>
      </c>
    </row>
    <row r="2" spans="1:9">
      <c r="A2" s="35" t="s">
        <v>113</v>
      </c>
      <c r="B2" s="44" t="s">
        <v>104</v>
      </c>
      <c r="C2" s="98" t="s">
        <v>212</v>
      </c>
      <c r="D2" s="98" t="s">
        <v>213</v>
      </c>
    </row>
    <row r="3" spans="1:9">
      <c r="A3" s="228" t="s">
        <v>67</v>
      </c>
      <c r="B3" s="254">
        <v>2000</v>
      </c>
      <c r="C3" s="35">
        <v>2.2799999999999998</v>
      </c>
      <c r="D3" s="268">
        <v>55.41</v>
      </c>
      <c r="G3" t="s">
        <v>110</v>
      </c>
      <c r="H3">
        <v>2000</v>
      </c>
      <c r="I3" s="58">
        <v>64.45</v>
      </c>
    </row>
    <row r="4" spans="1:9">
      <c r="A4" s="35" t="s">
        <v>67</v>
      </c>
      <c r="B4" s="44">
        <v>2005</v>
      </c>
      <c r="C4" s="35">
        <v>2</v>
      </c>
      <c r="D4" s="269">
        <v>53.6</v>
      </c>
      <c r="G4" t="s">
        <v>110</v>
      </c>
      <c r="H4">
        <v>2005</v>
      </c>
      <c r="I4" s="58">
        <v>53.39</v>
      </c>
    </row>
    <row r="5" spans="1:9">
      <c r="A5" s="35" t="s">
        <v>67</v>
      </c>
      <c r="B5" s="44">
        <v>2010</v>
      </c>
      <c r="C5" s="35">
        <v>1.62</v>
      </c>
      <c r="D5" s="269">
        <v>54.07</v>
      </c>
      <c r="G5" t="s">
        <v>110</v>
      </c>
      <c r="H5">
        <v>2010</v>
      </c>
      <c r="I5" s="58">
        <v>52</v>
      </c>
    </row>
    <row r="6" spans="1:9">
      <c r="A6" s="35" t="s">
        <v>67</v>
      </c>
      <c r="B6" s="44">
        <v>2015</v>
      </c>
      <c r="C6" s="35">
        <v>1.3</v>
      </c>
      <c r="D6" s="269">
        <v>53.32</v>
      </c>
      <c r="G6" t="s">
        <v>110</v>
      </c>
      <c r="H6">
        <v>2015</v>
      </c>
      <c r="I6" s="58">
        <v>47.16</v>
      </c>
    </row>
    <row r="7" spans="1:9">
      <c r="A7" s="35" t="s">
        <v>67</v>
      </c>
      <c r="B7" s="44">
        <v>2020</v>
      </c>
      <c r="C7" s="35">
        <v>1.0900000000000001</v>
      </c>
      <c r="D7" s="269">
        <v>47.35</v>
      </c>
      <c r="G7" t="s">
        <v>110</v>
      </c>
      <c r="H7">
        <v>2020</v>
      </c>
      <c r="I7" s="58">
        <v>42.71</v>
      </c>
    </row>
    <row r="8" spans="1:9">
      <c r="A8" s="35" t="s">
        <v>67</v>
      </c>
      <c r="B8" s="44">
        <v>2021</v>
      </c>
      <c r="C8" s="35">
        <v>1.06</v>
      </c>
      <c r="D8" s="269">
        <v>46.16</v>
      </c>
      <c r="G8" t="s">
        <v>110</v>
      </c>
      <c r="H8">
        <v>2021</v>
      </c>
      <c r="I8" s="58">
        <v>42.45</v>
      </c>
    </row>
    <row r="9" spans="1:9">
      <c r="A9" s="35" t="s">
        <v>67</v>
      </c>
      <c r="B9" s="44">
        <v>2022</v>
      </c>
      <c r="C9" s="35">
        <v>1.04</v>
      </c>
      <c r="D9" s="269">
        <v>45.5</v>
      </c>
      <c r="G9" t="s">
        <v>110</v>
      </c>
      <c r="H9">
        <v>2022</v>
      </c>
      <c r="I9" s="58">
        <v>41.84</v>
      </c>
    </row>
    <row r="10" spans="1:9">
      <c r="A10" s="35" t="s">
        <v>67</v>
      </c>
      <c r="B10" s="44">
        <v>2023</v>
      </c>
      <c r="C10" s="35">
        <v>1.01</v>
      </c>
      <c r="D10" s="269">
        <v>44.85</v>
      </c>
      <c r="G10" t="s">
        <v>110</v>
      </c>
      <c r="H10">
        <v>2023</v>
      </c>
      <c r="I10" s="58">
        <v>41.27</v>
      </c>
    </row>
    <row r="11" spans="1:9">
      <c r="A11" s="228" t="s">
        <v>67</v>
      </c>
      <c r="B11" s="254">
        <v>2024</v>
      </c>
      <c r="C11" s="35">
        <v>0.98</v>
      </c>
      <c r="D11" s="268">
        <v>43.92</v>
      </c>
      <c r="G11" t="s">
        <v>110</v>
      </c>
      <c r="H11">
        <v>2024</v>
      </c>
      <c r="I11" s="58">
        <v>40.67</v>
      </c>
    </row>
    <row r="12" spans="1:9">
      <c r="A12" s="35" t="s">
        <v>144</v>
      </c>
      <c r="B12" s="44">
        <v>2000</v>
      </c>
      <c r="C12" s="35">
        <v>0.54</v>
      </c>
      <c r="D12" s="269">
        <v>27.74</v>
      </c>
    </row>
    <row r="13" spans="1:9">
      <c r="A13" s="35" t="s">
        <v>144</v>
      </c>
      <c r="B13" s="44">
        <v>2005</v>
      </c>
      <c r="C13" s="35">
        <v>0.15</v>
      </c>
      <c r="D13" s="269">
        <v>20.9</v>
      </c>
    </row>
    <row r="14" spans="1:9">
      <c r="A14" s="35" t="s">
        <v>144</v>
      </c>
      <c r="B14" s="44">
        <v>2010</v>
      </c>
      <c r="C14" s="35">
        <v>7.0000000000000007E-2</v>
      </c>
      <c r="D14" s="269">
        <v>16.46</v>
      </c>
    </row>
    <row r="15" spans="1:9">
      <c r="A15" s="35" t="s">
        <v>144</v>
      </c>
      <c r="B15" s="44">
        <v>2015</v>
      </c>
      <c r="C15" s="35">
        <v>0.03</v>
      </c>
      <c r="D15" s="269">
        <v>13.31</v>
      </c>
    </row>
    <row r="16" spans="1:9">
      <c r="A16" s="35" t="s">
        <v>144</v>
      </c>
      <c r="B16" s="44">
        <v>2020</v>
      </c>
      <c r="C16" s="35">
        <v>0.02</v>
      </c>
      <c r="D16" s="269">
        <v>9.0500000000000007</v>
      </c>
    </row>
    <row r="17" spans="1:4">
      <c r="A17" s="35" t="s">
        <v>144</v>
      </c>
      <c r="B17" s="44">
        <v>2021</v>
      </c>
      <c r="C17" s="35">
        <v>0.02</v>
      </c>
      <c r="D17" s="269">
        <v>8.32</v>
      </c>
    </row>
    <row r="18" spans="1:4">
      <c r="A18" s="35" t="s">
        <v>144</v>
      </c>
      <c r="B18" s="44">
        <v>2022</v>
      </c>
      <c r="C18" s="35">
        <v>0.02</v>
      </c>
      <c r="D18" s="269">
        <v>8.1300000000000008</v>
      </c>
    </row>
    <row r="19" spans="1:4">
      <c r="A19" s="35" t="s">
        <v>144</v>
      </c>
      <c r="B19" s="44">
        <v>2023</v>
      </c>
      <c r="C19" s="35">
        <v>0.02</v>
      </c>
      <c r="D19" s="269">
        <v>8.69</v>
      </c>
    </row>
    <row r="20" spans="1:4">
      <c r="A20" s="35" t="s">
        <v>144</v>
      </c>
      <c r="B20" s="44">
        <v>2024</v>
      </c>
      <c r="C20" s="35">
        <v>0.02</v>
      </c>
      <c r="D20" s="269">
        <v>8.56</v>
      </c>
    </row>
    <row r="21" spans="1:4">
      <c r="A21" s="35" t="s">
        <v>119</v>
      </c>
      <c r="B21" s="44">
        <v>2000</v>
      </c>
      <c r="C21" s="35">
        <v>0.12</v>
      </c>
      <c r="D21" s="269">
        <v>18.87</v>
      </c>
    </row>
    <row r="22" spans="1:4">
      <c r="A22" s="35" t="s">
        <v>119</v>
      </c>
      <c r="B22" s="44">
        <v>2005</v>
      </c>
      <c r="C22" s="35">
        <v>0.1</v>
      </c>
      <c r="D22" s="269">
        <v>16.63</v>
      </c>
    </row>
    <row r="23" spans="1:4">
      <c r="A23" s="35" t="s">
        <v>119</v>
      </c>
      <c r="B23" s="44">
        <v>2010</v>
      </c>
      <c r="C23" s="35">
        <v>7.0000000000000007E-2</v>
      </c>
      <c r="D23" s="269">
        <v>17.73</v>
      </c>
    </row>
    <row r="24" spans="1:4">
      <c r="A24" s="35" t="s">
        <v>119</v>
      </c>
      <c r="B24" s="44">
        <v>2015</v>
      </c>
      <c r="C24" s="35">
        <v>0.06</v>
      </c>
      <c r="D24" s="269">
        <v>17.420000000000002</v>
      </c>
    </row>
    <row r="25" spans="1:4">
      <c r="A25" s="35" t="s">
        <v>119</v>
      </c>
      <c r="B25" s="44">
        <v>2020</v>
      </c>
      <c r="C25" s="35">
        <v>0.05</v>
      </c>
      <c r="D25" s="269">
        <v>15.91</v>
      </c>
    </row>
    <row r="26" spans="1:4">
      <c r="A26" s="35" t="s">
        <v>119</v>
      </c>
      <c r="B26" s="44">
        <v>2021</v>
      </c>
      <c r="C26" s="35">
        <v>0.05</v>
      </c>
      <c r="D26" s="269">
        <v>15.26</v>
      </c>
    </row>
    <row r="27" spans="1:4">
      <c r="A27" s="35" t="s">
        <v>119</v>
      </c>
      <c r="B27" s="44">
        <v>2022</v>
      </c>
      <c r="C27" s="35">
        <v>0.05</v>
      </c>
      <c r="D27" s="269">
        <v>14.77</v>
      </c>
    </row>
    <row r="28" spans="1:4">
      <c r="A28" s="35" t="s">
        <v>119</v>
      </c>
      <c r="B28" s="44">
        <v>2023</v>
      </c>
      <c r="C28" s="35">
        <v>0.05</v>
      </c>
      <c r="D28" s="269">
        <v>14.35</v>
      </c>
    </row>
    <row r="29" spans="1:4">
      <c r="A29" s="35" t="s">
        <v>119</v>
      </c>
      <c r="B29" s="44">
        <v>2024</v>
      </c>
      <c r="C29" s="35">
        <v>0.05</v>
      </c>
      <c r="D29" s="269">
        <v>14.05</v>
      </c>
    </row>
    <row r="30" spans="1:4">
      <c r="A30" s="35" t="s">
        <v>120</v>
      </c>
      <c r="B30" s="44">
        <v>2000</v>
      </c>
      <c r="C30" s="35">
        <v>1.06</v>
      </c>
      <c r="D30" s="269">
        <v>56.39</v>
      </c>
    </row>
    <row r="31" spans="1:4">
      <c r="A31" s="35" t="s">
        <v>120</v>
      </c>
      <c r="B31" s="44">
        <v>2005</v>
      </c>
      <c r="C31" s="35">
        <v>0.83</v>
      </c>
      <c r="D31" s="269">
        <v>55.41</v>
      </c>
    </row>
    <row r="32" spans="1:4">
      <c r="A32" s="35" t="s">
        <v>120</v>
      </c>
      <c r="B32" s="44">
        <v>2010</v>
      </c>
      <c r="C32" s="35">
        <v>0.92</v>
      </c>
      <c r="D32" s="269">
        <v>59.6</v>
      </c>
    </row>
    <row r="33" spans="1:4">
      <c r="A33" s="35" t="s">
        <v>120</v>
      </c>
      <c r="B33" s="44">
        <v>2015</v>
      </c>
      <c r="C33" s="35">
        <v>0.99</v>
      </c>
      <c r="D33" s="269">
        <v>57.05</v>
      </c>
    </row>
    <row r="34" spans="1:4">
      <c r="A34" s="35" t="s">
        <v>120</v>
      </c>
      <c r="B34" s="44">
        <v>2020</v>
      </c>
      <c r="C34" s="35">
        <v>0.81</v>
      </c>
      <c r="D34" s="269">
        <v>45.64</v>
      </c>
    </row>
    <row r="35" spans="1:4">
      <c r="A35" s="35" t="s">
        <v>120</v>
      </c>
      <c r="B35" s="44">
        <v>2021</v>
      </c>
      <c r="C35" s="35">
        <v>0.77</v>
      </c>
      <c r="D35" s="269">
        <v>44.12</v>
      </c>
    </row>
    <row r="36" spans="1:4">
      <c r="A36" s="35" t="s">
        <v>120</v>
      </c>
      <c r="B36" s="44">
        <v>2022</v>
      </c>
      <c r="C36" s="35">
        <v>0.72</v>
      </c>
      <c r="D36" s="269">
        <v>43.57</v>
      </c>
    </row>
    <row r="37" spans="1:4">
      <c r="A37" s="35" t="s">
        <v>120</v>
      </c>
      <c r="B37" s="44">
        <v>2023</v>
      </c>
      <c r="C37" s="35">
        <v>0.68</v>
      </c>
      <c r="D37" s="269">
        <v>43.12</v>
      </c>
    </row>
    <row r="38" spans="1:4">
      <c r="A38" s="35" t="s">
        <v>120</v>
      </c>
      <c r="B38" s="44">
        <v>2024</v>
      </c>
      <c r="C38" s="35">
        <v>0.68</v>
      </c>
      <c r="D38" s="269">
        <v>42.52</v>
      </c>
    </row>
    <row r="39" spans="1:4">
      <c r="A39" s="228" t="s">
        <v>121</v>
      </c>
      <c r="B39" s="254">
        <v>2000</v>
      </c>
      <c r="C39" s="35">
        <v>7.61</v>
      </c>
      <c r="D39" s="268">
        <v>109.91</v>
      </c>
    </row>
    <row r="40" spans="1:4">
      <c r="A40" s="35" t="s">
        <v>121</v>
      </c>
      <c r="B40" s="44">
        <v>2005</v>
      </c>
      <c r="C40" s="35">
        <v>6.37</v>
      </c>
      <c r="D40" s="269">
        <v>103.32</v>
      </c>
    </row>
    <row r="41" spans="1:4">
      <c r="A41" s="35" t="s">
        <v>121</v>
      </c>
      <c r="B41" s="44">
        <v>2010</v>
      </c>
      <c r="C41" s="35">
        <v>4.3499999999999996</v>
      </c>
      <c r="D41" s="269">
        <v>90.19</v>
      </c>
    </row>
    <row r="42" spans="1:4">
      <c r="A42" s="35" t="s">
        <v>121</v>
      </c>
      <c r="B42" s="44">
        <v>2015</v>
      </c>
      <c r="C42" s="35">
        <v>2.95</v>
      </c>
      <c r="D42" s="269">
        <v>85.4</v>
      </c>
    </row>
    <row r="43" spans="1:4">
      <c r="A43" s="35" t="s">
        <v>121</v>
      </c>
      <c r="B43" s="44">
        <v>2020</v>
      </c>
      <c r="C43" s="35">
        <v>2.5499999999999998</v>
      </c>
      <c r="D43" s="269">
        <v>80.72</v>
      </c>
    </row>
    <row r="44" spans="1:4">
      <c r="A44" s="35" t="s">
        <v>121</v>
      </c>
      <c r="B44" s="44">
        <v>2021</v>
      </c>
      <c r="C44" s="35">
        <v>2.5299999999999998</v>
      </c>
      <c r="D44" s="269">
        <v>79.67</v>
      </c>
    </row>
    <row r="45" spans="1:4">
      <c r="A45" s="35" t="s">
        <v>121</v>
      </c>
      <c r="B45" s="44">
        <v>2022</v>
      </c>
      <c r="C45" s="35">
        <v>2.52</v>
      </c>
      <c r="D45" s="269">
        <v>78.7</v>
      </c>
    </row>
    <row r="46" spans="1:4">
      <c r="A46" s="35" t="s">
        <v>121</v>
      </c>
      <c r="B46" s="44">
        <v>2023</v>
      </c>
      <c r="C46" s="35">
        <v>2.5</v>
      </c>
      <c r="D46" s="269">
        <v>77.89</v>
      </c>
    </row>
    <row r="47" spans="1:4">
      <c r="A47" s="228" t="s">
        <v>121</v>
      </c>
      <c r="B47" s="254">
        <v>2024</v>
      </c>
      <c r="C47" s="35">
        <v>2.38</v>
      </c>
      <c r="D47" s="268">
        <v>76.59</v>
      </c>
    </row>
  </sheetData>
  <autoFilter ref="A2:D47" xr:uid="{B84F2642-13D1-4E81-98A5-4497E4A2AA3D}"/>
  <mergeCells count="1">
    <mergeCell ref="C1:D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FC63C-374C-4F96-A372-5DACB7E3E4AA}">
  <sheetPr codeName="Sheet42">
    <tabColor theme="6" tint="0.39997558519241921"/>
  </sheetPr>
  <dimension ref="A1:F42"/>
  <sheetViews>
    <sheetView showGridLines="0" zoomScale="70" zoomScaleNormal="70" workbookViewId="0">
      <pane xSplit="3" ySplit="2" topLeftCell="D3" activePane="bottomRight" state="frozen"/>
      <selection activeCell="E10" sqref="E10"/>
      <selection pane="topRight" activeCell="E10" sqref="E10"/>
      <selection pane="bottomLeft" activeCell="E10" sqref="E10"/>
      <selection pane="bottomRight" activeCell="D1" sqref="D1:F1"/>
    </sheetView>
  </sheetViews>
  <sheetFormatPr defaultRowHeight="14.5"/>
  <cols>
    <col min="1" max="1" width="12.453125" bestFit="1" customWidth="1"/>
    <col min="2" max="2" width="11.453125" style="53" bestFit="1" customWidth="1"/>
    <col min="3" max="3" width="32.81640625" bestFit="1" customWidth="1"/>
    <col min="4" max="6" width="13.81640625" customWidth="1"/>
  </cols>
  <sheetData>
    <row r="1" spans="1:6" ht="33.65" customHeight="1">
      <c r="D1" s="473" t="s">
        <v>338</v>
      </c>
      <c r="E1" s="473"/>
      <c r="F1" s="473"/>
    </row>
    <row r="2" spans="1:6">
      <c r="A2" s="35" t="s">
        <v>113</v>
      </c>
      <c r="B2" s="44" t="s">
        <v>339</v>
      </c>
      <c r="C2" s="35" t="s">
        <v>340</v>
      </c>
      <c r="D2" s="98" t="s">
        <v>114</v>
      </c>
      <c r="E2" s="98" t="s">
        <v>115</v>
      </c>
      <c r="F2" s="98" t="s">
        <v>116</v>
      </c>
    </row>
    <row r="3" spans="1:6">
      <c r="A3" s="38" t="s">
        <v>67</v>
      </c>
      <c r="B3" s="144">
        <v>2010</v>
      </c>
      <c r="C3" s="38" t="s">
        <v>191</v>
      </c>
      <c r="D3" s="171">
        <v>166943.69998168945</v>
      </c>
      <c r="E3" s="171">
        <v>75978.839973449707</v>
      </c>
      <c r="F3" s="171">
        <v>90964.059989929199</v>
      </c>
    </row>
    <row r="4" spans="1:6">
      <c r="A4" s="38" t="s">
        <v>67</v>
      </c>
      <c r="B4" s="144">
        <v>2010</v>
      </c>
      <c r="C4" s="38" t="s">
        <v>341</v>
      </c>
      <c r="D4" s="171">
        <v>27574.580011367798</v>
      </c>
      <c r="E4" s="171">
        <v>12580.510001182556</v>
      </c>
      <c r="F4" s="171">
        <v>14994.380025863647</v>
      </c>
    </row>
    <row r="5" spans="1:6">
      <c r="A5" s="38" t="s">
        <v>67</v>
      </c>
      <c r="B5" s="144">
        <v>2010</v>
      </c>
      <c r="C5" s="38" t="s">
        <v>342</v>
      </c>
      <c r="D5" s="171">
        <v>6599.6900100708008</v>
      </c>
      <c r="E5" s="171">
        <v>2527.0700144767761</v>
      </c>
      <c r="F5" s="171">
        <v>4072.5400147438049</v>
      </c>
    </row>
    <row r="6" spans="1:6">
      <c r="A6" s="38" t="s">
        <v>67</v>
      </c>
      <c r="B6" s="144">
        <v>2010</v>
      </c>
      <c r="C6" s="38" t="s">
        <v>343</v>
      </c>
      <c r="D6" s="171">
        <v>103704.03007507324</v>
      </c>
      <c r="E6" s="171">
        <v>46549.920043945313</v>
      </c>
      <c r="F6" s="171">
        <v>57154.200040817261</v>
      </c>
    </row>
    <row r="7" spans="1:6">
      <c r="A7" s="38" t="s">
        <v>67</v>
      </c>
      <c r="B7" s="144">
        <v>2010</v>
      </c>
      <c r="C7" s="38" t="s">
        <v>344</v>
      </c>
      <c r="D7" s="171">
        <v>26407.649997711182</v>
      </c>
      <c r="E7" s="171">
        <v>13772.029954910278</v>
      </c>
      <c r="F7" s="171">
        <v>12637.160048484802</v>
      </c>
    </row>
    <row r="8" spans="1:6">
      <c r="A8" s="38" t="s">
        <v>67</v>
      </c>
      <c r="B8" s="144">
        <v>2010</v>
      </c>
      <c r="C8" s="38" t="s">
        <v>345</v>
      </c>
      <c r="D8" s="171">
        <v>2656.3940273225307</v>
      </c>
      <c r="E8" s="171">
        <v>550.39999389648438</v>
      </c>
      <c r="F8" s="171">
        <v>2106.0540240705013</v>
      </c>
    </row>
    <row r="9" spans="1:6">
      <c r="A9" s="38" t="s">
        <v>67</v>
      </c>
      <c r="B9" s="144">
        <v>2015</v>
      </c>
      <c r="C9" s="38" t="s">
        <v>191</v>
      </c>
      <c r="D9" s="171">
        <v>189126.20001220703</v>
      </c>
      <c r="E9" s="171">
        <v>85099</v>
      </c>
      <c r="F9" s="171">
        <v>104027.54004669189</v>
      </c>
    </row>
    <row r="10" spans="1:6">
      <c r="A10" s="38" t="s">
        <v>67</v>
      </c>
      <c r="B10" s="144">
        <v>2015</v>
      </c>
      <c r="C10" s="38" t="s">
        <v>341</v>
      </c>
      <c r="D10" s="171">
        <v>26174.330026626587</v>
      </c>
      <c r="E10" s="171">
        <v>11772.979983329773</v>
      </c>
      <c r="F10" s="171">
        <v>14403.509962081909</v>
      </c>
    </row>
    <row r="11" spans="1:6">
      <c r="A11" s="38" t="s">
        <v>67</v>
      </c>
      <c r="B11" s="144">
        <v>2015</v>
      </c>
      <c r="C11" s="38" t="s">
        <v>342</v>
      </c>
      <c r="D11" s="171">
        <v>7733.5500602722168</v>
      </c>
      <c r="E11" s="171">
        <v>2924.700005531311</v>
      </c>
      <c r="F11" s="171">
        <v>4808.7399969100952</v>
      </c>
    </row>
    <row r="12" spans="1:6">
      <c r="A12" s="38" t="s">
        <v>67</v>
      </c>
      <c r="B12" s="144">
        <v>2015</v>
      </c>
      <c r="C12" s="38" t="s">
        <v>343</v>
      </c>
      <c r="D12" s="171">
        <v>121483.56003952026</v>
      </c>
      <c r="E12" s="171">
        <v>53907.150026321411</v>
      </c>
      <c r="F12" s="171">
        <v>67574.51003074646</v>
      </c>
    </row>
    <row r="13" spans="1:6">
      <c r="A13" s="38" t="s">
        <v>67</v>
      </c>
      <c r="B13" s="144">
        <v>2015</v>
      </c>
      <c r="C13" s="38" t="s">
        <v>344</v>
      </c>
      <c r="D13" s="171">
        <v>30491.239933013916</v>
      </c>
      <c r="E13" s="171">
        <v>15772.189973831177</v>
      </c>
      <c r="F13" s="171">
        <v>14716.760034561157</v>
      </c>
    </row>
    <row r="14" spans="1:6">
      <c r="A14" s="38" t="s">
        <v>67</v>
      </c>
      <c r="B14" s="144">
        <v>2015</v>
      </c>
      <c r="C14" s="38" t="s">
        <v>345</v>
      </c>
      <c r="D14" s="171">
        <v>3243.6819986924529</v>
      </c>
      <c r="E14" s="171">
        <v>720.7199901342392</v>
      </c>
      <c r="F14" s="171">
        <v>2523.1520243510604</v>
      </c>
    </row>
    <row r="15" spans="1:6">
      <c r="A15" s="38" t="s">
        <v>67</v>
      </c>
      <c r="B15" s="144">
        <v>2016</v>
      </c>
      <c r="C15" s="38" t="s">
        <v>191</v>
      </c>
      <c r="D15" s="171">
        <v>191052.80003356934</v>
      </c>
      <c r="E15" s="171">
        <v>85552.079963684082</v>
      </c>
      <c r="F15" s="171">
        <v>105501.51999664307</v>
      </c>
    </row>
    <row r="16" spans="1:6">
      <c r="A16" s="38" t="s">
        <v>67</v>
      </c>
      <c r="B16" s="144">
        <v>2016</v>
      </c>
      <c r="C16" s="38" t="s">
        <v>341</v>
      </c>
      <c r="D16" s="171">
        <v>26091.399971008301</v>
      </c>
      <c r="E16" s="171">
        <v>11666.959985733032</v>
      </c>
      <c r="F16" s="171">
        <v>14427.370002746582</v>
      </c>
    </row>
    <row r="17" spans="1:6">
      <c r="A17" s="38" t="s">
        <v>67</v>
      </c>
      <c r="B17" s="144">
        <v>2016</v>
      </c>
      <c r="C17" s="38" t="s">
        <v>342</v>
      </c>
      <c r="D17" s="171">
        <v>7841.4999351501465</v>
      </c>
      <c r="E17" s="171">
        <v>2947.3399827480316</v>
      </c>
      <c r="F17" s="171">
        <v>4894.3899922370911</v>
      </c>
    </row>
    <row r="18" spans="1:6">
      <c r="A18" s="38" t="s">
        <v>67</v>
      </c>
      <c r="B18" s="144">
        <v>2016</v>
      </c>
      <c r="C18" s="38" t="s">
        <v>343</v>
      </c>
      <c r="D18" s="171">
        <v>122967.92001724243</v>
      </c>
      <c r="E18" s="171">
        <v>54333.09997177124</v>
      </c>
      <c r="F18" s="171">
        <v>68635.839979171753</v>
      </c>
    </row>
    <row r="19" spans="1:6">
      <c r="A19" s="38" t="s">
        <v>67</v>
      </c>
      <c r="B19" s="144">
        <v>2016</v>
      </c>
      <c r="C19" s="38" t="s">
        <v>344</v>
      </c>
      <c r="D19" s="171">
        <v>30835.139942169189</v>
      </c>
      <c r="E19" s="171">
        <v>15865.589973449707</v>
      </c>
      <c r="F19" s="171">
        <v>14969.539939880371</v>
      </c>
    </row>
    <row r="20" spans="1:6">
      <c r="A20" s="38" t="s">
        <v>67</v>
      </c>
      <c r="B20" s="144">
        <v>2016</v>
      </c>
      <c r="C20" s="38" t="s">
        <v>345</v>
      </c>
      <c r="D20" s="171">
        <v>3315.5520009621978</v>
      </c>
      <c r="E20" s="171">
        <v>740.51000893115997</v>
      </c>
      <c r="F20" s="171">
        <v>2575.7720473632216</v>
      </c>
    </row>
    <row r="21" spans="1:6">
      <c r="A21" s="38" t="s">
        <v>67</v>
      </c>
      <c r="B21" s="144">
        <v>2017</v>
      </c>
      <c r="C21" s="38" t="s">
        <v>191</v>
      </c>
      <c r="D21" s="171">
        <v>194075.5</v>
      </c>
      <c r="E21" s="171">
        <v>86837.529983520508</v>
      </c>
      <c r="F21" s="171">
        <v>107239.6000289917</v>
      </c>
    </row>
    <row r="22" spans="1:6">
      <c r="A22" s="38" t="s">
        <v>67</v>
      </c>
      <c r="B22" s="144">
        <v>2017</v>
      </c>
      <c r="C22" s="38" t="s">
        <v>341</v>
      </c>
      <c r="D22" s="171">
        <v>25742.319961547852</v>
      </c>
      <c r="E22" s="171">
        <v>11478.170043945313</v>
      </c>
      <c r="F22" s="171">
        <v>14263.629987716675</v>
      </c>
    </row>
    <row r="23" spans="1:6">
      <c r="A23" s="38" t="s">
        <v>67</v>
      </c>
      <c r="B23" s="144">
        <v>2017</v>
      </c>
      <c r="C23" s="38" t="s">
        <v>342</v>
      </c>
      <c r="D23" s="171">
        <v>8006.4999847412109</v>
      </c>
      <c r="E23" s="171">
        <v>3017.0499792098999</v>
      </c>
      <c r="F23" s="171">
        <v>4989.2999897003174</v>
      </c>
    </row>
    <row r="24" spans="1:6">
      <c r="A24" s="38" t="s">
        <v>67</v>
      </c>
      <c r="B24" s="144">
        <v>2017</v>
      </c>
      <c r="C24" s="38" t="s">
        <v>343</v>
      </c>
      <c r="D24" s="171">
        <v>125465.40999221802</v>
      </c>
      <c r="E24" s="171">
        <v>55404.780029296875</v>
      </c>
      <c r="F24" s="171">
        <v>70061.129970550537</v>
      </c>
    </row>
    <row r="25" spans="1:6">
      <c r="A25" s="38" t="s">
        <v>67</v>
      </c>
      <c r="B25" s="144">
        <v>2017</v>
      </c>
      <c r="C25" s="38" t="s">
        <v>344</v>
      </c>
      <c r="D25" s="171">
        <v>31465.96004486084</v>
      </c>
      <c r="E25" s="171">
        <v>16171.579948425293</v>
      </c>
      <c r="F25" s="171">
        <v>15293.469984054565</v>
      </c>
    </row>
    <row r="26" spans="1:6">
      <c r="A26" s="38" t="s">
        <v>67</v>
      </c>
      <c r="B26" s="144">
        <v>2017</v>
      </c>
      <c r="C26" s="38" t="s">
        <v>345</v>
      </c>
      <c r="D26" s="171">
        <v>3398.484012119472</v>
      </c>
      <c r="E26" s="171">
        <v>767.5199927687645</v>
      </c>
      <c r="F26" s="171">
        <v>2630.8640184924006</v>
      </c>
    </row>
    <row r="27" spans="1:6">
      <c r="A27" s="38" t="s">
        <v>67</v>
      </c>
      <c r="B27" s="144">
        <v>2018</v>
      </c>
      <c r="C27" s="38" t="s">
        <v>191</v>
      </c>
      <c r="D27" s="171">
        <v>199083.19999694824</v>
      </c>
      <c r="E27" s="171">
        <v>89154.960006713867</v>
      </c>
      <c r="F27" s="171">
        <v>109929.90003204346</v>
      </c>
    </row>
    <row r="28" spans="1:6">
      <c r="A28" s="38" t="s">
        <v>67</v>
      </c>
      <c r="B28" s="144">
        <v>2018</v>
      </c>
      <c r="C28" s="38" t="s">
        <v>341</v>
      </c>
      <c r="D28" s="171">
        <v>25511.819961547852</v>
      </c>
      <c r="E28" s="171">
        <v>11421.860033988953</v>
      </c>
      <c r="F28" s="171">
        <v>14091.660026550293</v>
      </c>
    </row>
    <row r="29" spans="1:6">
      <c r="A29" s="38" t="s">
        <v>67</v>
      </c>
      <c r="B29" s="144">
        <v>2018</v>
      </c>
      <c r="C29" s="38" t="s">
        <v>342</v>
      </c>
      <c r="D29" s="171">
        <v>8262.3600225448608</v>
      </c>
      <c r="E29" s="171">
        <v>3113.4900002479553</v>
      </c>
      <c r="F29" s="171">
        <v>5148.9000301361084</v>
      </c>
    </row>
    <row r="30" spans="1:6">
      <c r="A30" s="38" t="s">
        <v>67</v>
      </c>
      <c r="B30" s="144">
        <v>2018</v>
      </c>
      <c r="C30" s="38" t="s">
        <v>343</v>
      </c>
      <c r="D30" s="171">
        <v>129534.62002563477</v>
      </c>
      <c r="E30" s="171">
        <v>57218.809993743896</v>
      </c>
      <c r="F30" s="171">
        <v>72316.560047149658</v>
      </c>
    </row>
    <row r="31" spans="1:6">
      <c r="A31" s="38" t="s">
        <v>67</v>
      </c>
      <c r="B31" s="144">
        <v>2018</v>
      </c>
      <c r="C31" s="38" t="s">
        <v>344</v>
      </c>
      <c r="D31" s="171">
        <v>32238.130046844482</v>
      </c>
      <c r="E31" s="171">
        <v>16585.219985961914</v>
      </c>
      <c r="F31" s="171">
        <v>15651.109956741333</v>
      </c>
    </row>
    <row r="32" spans="1:6">
      <c r="A32" s="38" t="s">
        <v>67</v>
      </c>
      <c r="B32" s="144">
        <v>2018</v>
      </c>
      <c r="C32" s="38" t="s">
        <v>345</v>
      </c>
      <c r="D32" s="171">
        <v>3537.9749893546104</v>
      </c>
      <c r="E32" s="171">
        <v>814.51999092102051</v>
      </c>
      <c r="F32" s="171">
        <v>2723.1049887537956</v>
      </c>
    </row>
    <row r="33" spans="1:6">
      <c r="A33" s="38" t="s">
        <v>67</v>
      </c>
      <c r="B33" s="144">
        <v>2019</v>
      </c>
      <c r="C33" s="38" t="s">
        <v>191</v>
      </c>
      <c r="D33" s="171">
        <v>204101.6000213623</v>
      </c>
      <c r="E33" s="171">
        <v>91349.640075683594</v>
      </c>
      <c r="F33" s="171">
        <v>112753.1000213623</v>
      </c>
    </row>
    <row r="34" spans="1:6">
      <c r="A34" s="38" t="s">
        <v>67</v>
      </c>
      <c r="B34" s="144">
        <v>2019</v>
      </c>
      <c r="C34" s="38" t="s">
        <v>341</v>
      </c>
      <c r="D34" s="171">
        <v>25898.999973297119</v>
      </c>
      <c r="E34" s="171">
        <v>11615.199984550476</v>
      </c>
      <c r="F34" s="171">
        <v>14283.74995803833</v>
      </c>
    </row>
    <row r="35" spans="1:6">
      <c r="A35" s="38" t="s">
        <v>67</v>
      </c>
      <c r="B35" s="144">
        <v>2019</v>
      </c>
      <c r="C35" s="38" t="s">
        <v>342</v>
      </c>
      <c r="D35" s="171">
        <v>8470.4299592971802</v>
      </c>
      <c r="E35" s="171">
        <v>3191.3099956512451</v>
      </c>
      <c r="F35" s="171">
        <v>5277.9799847602844</v>
      </c>
    </row>
    <row r="36" spans="1:6">
      <c r="A36" s="38" t="s">
        <v>67</v>
      </c>
      <c r="B36" s="144">
        <v>2019</v>
      </c>
      <c r="C36" s="38" t="s">
        <v>343</v>
      </c>
      <c r="D36" s="171">
        <v>133169.58003234863</v>
      </c>
      <c r="E36" s="171">
        <v>58786.309980392456</v>
      </c>
      <c r="F36" s="171">
        <v>74383.680042266846</v>
      </c>
    </row>
    <row r="37" spans="1:6">
      <c r="A37" s="38" t="s">
        <v>67</v>
      </c>
      <c r="B37" s="144">
        <v>2019</v>
      </c>
      <c r="C37" s="38" t="s">
        <v>344</v>
      </c>
      <c r="D37" s="171">
        <v>32917.870010375977</v>
      </c>
      <c r="E37" s="171">
        <v>16908.260007858276</v>
      </c>
      <c r="F37" s="171">
        <v>16009.30002784729</v>
      </c>
    </row>
    <row r="38" spans="1:6">
      <c r="A38" s="38" t="s">
        <v>67</v>
      </c>
      <c r="B38" s="144">
        <v>2019</v>
      </c>
      <c r="C38" s="38" t="s">
        <v>345</v>
      </c>
      <c r="D38" s="171">
        <v>3648.3069687783718</v>
      </c>
      <c r="E38" s="171">
        <v>850.59001755714417</v>
      </c>
      <c r="F38" s="171">
        <v>2797.8570254743099</v>
      </c>
    </row>
    <row r="40" spans="1:6">
      <c r="A40" s="172" t="s">
        <v>346</v>
      </c>
    </row>
    <row r="42" spans="1:6">
      <c r="A42" t="s">
        <v>176</v>
      </c>
      <c r="C42" t="s">
        <v>164</v>
      </c>
    </row>
  </sheetData>
  <mergeCells count="1">
    <mergeCell ref="D1:F1"/>
  </mergeCells>
  <hyperlinks>
    <hyperlink ref="A40" r:id="rId1" display="https://www.who.int/data/gho/data/indicators/indicator-details/GHO/household-air-pollution-attributable-deaths" xr:uid="{8F4FEB2B-4371-4CB5-AF69-90C8692A17D4}"/>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E1A62-4C01-4141-B33B-D7C09D6F3E32}">
  <sheetPr codeName="Sheet34">
    <tabColor theme="6" tint="0.39997558519241921"/>
  </sheetPr>
  <dimension ref="A1:G26"/>
  <sheetViews>
    <sheetView showGridLines="0" zoomScale="70" zoomScaleNormal="70" workbookViewId="0">
      <pane xSplit="1" ySplit="2" topLeftCell="B3" activePane="bottomRight" state="frozen"/>
      <selection activeCell="E10" sqref="E10"/>
      <selection pane="topRight" activeCell="E10" sqref="E10"/>
      <selection pane="bottomLeft" activeCell="E10" sqref="E10"/>
      <selection pane="bottomRight" activeCell="D2" sqref="D2"/>
    </sheetView>
  </sheetViews>
  <sheetFormatPr defaultRowHeight="14.5"/>
  <cols>
    <col min="1" max="1" width="19.54296875" bestFit="1" customWidth="1"/>
    <col min="2" max="4" width="11.1796875" style="41" bestFit="1" customWidth="1"/>
  </cols>
  <sheetData>
    <row r="1" spans="1:7">
      <c r="B1" s="474" t="s">
        <v>272</v>
      </c>
      <c r="C1" s="474"/>
      <c r="D1" s="474"/>
    </row>
    <row r="2" spans="1:7">
      <c r="A2" s="137" t="s">
        <v>4</v>
      </c>
      <c r="B2" s="136" t="s">
        <v>114</v>
      </c>
      <c r="C2" s="136" t="s">
        <v>115</v>
      </c>
      <c r="D2" s="136" t="s">
        <v>116</v>
      </c>
    </row>
    <row r="3" spans="1:7">
      <c r="A3" s="35" t="s">
        <v>45</v>
      </c>
      <c r="B3" s="132">
        <v>1744</v>
      </c>
      <c r="C3" s="132">
        <v>822</v>
      </c>
      <c r="D3" s="132">
        <v>922</v>
      </c>
      <c r="E3" s="134"/>
      <c r="G3" s="134"/>
    </row>
    <row r="4" spans="1:7">
      <c r="A4" s="35" t="s">
        <v>37</v>
      </c>
      <c r="B4" s="132">
        <v>13</v>
      </c>
      <c r="C4" s="132">
        <v>5</v>
      </c>
      <c r="D4" s="132">
        <v>8</v>
      </c>
      <c r="E4" s="134"/>
      <c r="G4" s="134"/>
    </row>
    <row r="5" spans="1:7">
      <c r="A5" s="35" t="s">
        <v>40</v>
      </c>
      <c r="B5" s="132">
        <v>373</v>
      </c>
      <c r="C5" s="132">
        <v>165</v>
      </c>
      <c r="D5" s="132">
        <v>208</v>
      </c>
      <c r="E5" s="134"/>
      <c r="G5" s="134"/>
    </row>
    <row r="6" spans="1:7">
      <c r="A6" s="35" t="s">
        <v>34</v>
      </c>
      <c r="B6" s="132">
        <v>366</v>
      </c>
      <c r="C6" s="132">
        <v>155</v>
      </c>
      <c r="D6" s="132">
        <v>211</v>
      </c>
      <c r="E6" s="134"/>
      <c r="G6" s="134"/>
    </row>
    <row r="7" spans="1:7">
      <c r="A7" s="35" t="s">
        <v>33</v>
      </c>
      <c r="B7" s="132">
        <v>4826</v>
      </c>
      <c r="C7" s="132">
        <v>2216</v>
      </c>
      <c r="D7" s="132">
        <v>2610</v>
      </c>
      <c r="E7" s="134"/>
      <c r="G7" s="134"/>
    </row>
    <row r="8" spans="1:7">
      <c r="A8" s="35" t="s">
        <v>32</v>
      </c>
      <c r="B8" s="132">
        <v>1746</v>
      </c>
      <c r="C8" s="132">
        <v>782</v>
      </c>
      <c r="D8" s="132">
        <v>964</v>
      </c>
      <c r="E8" s="134"/>
      <c r="G8" s="134"/>
    </row>
    <row r="9" spans="1:7">
      <c r="A9" s="35" t="s">
        <v>43</v>
      </c>
      <c r="B9" s="132">
        <v>197</v>
      </c>
      <c r="C9" s="132">
        <v>96</v>
      </c>
      <c r="D9" s="132">
        <v>101</v>
      </c>
      <c r="E9" s="134"/>
      <c r="G9" s="134"/>
    </row>
    <row r="10" spans="1:7">
      <c r="A10" s="35" t="s">
        <v>48</v>
      </c>
      <c r="B10" s="132">
        <v>33</v>
      </c>
      <c r="C10" s="132">
        <v>9</v>
      </c>
      <c r="D10" s="132">
        <v>24</v>
      </c>
      <c r="E10" s="134"/>
      <c r="G10" s="134"/>
    </row>
    <row r="11" spans="1:7">
      <c r="A11" s="35" t="s">
        <v>46</v>
      </c>
      <c r="B11" s="132">
        <v>164</v>
      </c>
      <c r="C11" s="132">
        <v>69</v>
      </c>
      <c r="D11" s="132">
        <v>95</v>
      </c>
      <c r="E11" s="134"/>
      <c r="G11" s="134"/>
    </row>
    <row r="12" spans="1:7">
      <c r="A12" s="35" t="s">
        <v>41</v>
      </c>
      <c r="B12" s="132">
        <v>146</v>
      </c>
      <c r="C12" s="132">
        <v>71</v>
      </c>
      <c r="D12" s="132">
        <v>75</v>
      </c>
      <c r="E12" s="134"/>
      <c r="G12" s="134"/>
    </row>
    <row r="13" spans="1:7">
      <c r="A13" s="35" t="s">
        <v>36</v>
      </c>
      <c r="B13" s="132">
        <v>1711</v>
      </c>
      <c r="C13" s="132">
        <v>789</v>
      </c>
      <c r="D13" s="132">
        <v>922</v>
      </c>
      <c r="E13" s="134"/>
      <c r="G13" s="134"/>
    </row>
    <row r="14" spans="1:7">
      <c r="A14" s="35" t="s">
        <v>35</v>
      </c>
      <c r="B14" s="132">
        <v>1660</v>
      </c>
      <c r="C14" s="132">
        <v>829</v>
      </c>
      <c r="D14" s="132">
        <v>831</v>
      </c>
      <c r="E14" s="134"/>
      <c r="G14" s="134"/>
    </row>
    <row r="15" spans="1:7">
      <c r="A15" s="35" t="s">
        <v>49</v>
      </c>
      <c r="B15" s="132">
        <v>80</v>
      </c>
      <c r="C15" s="132">
        <v>32</v>
      </c>
      <c r="D15" s="132">
        <v>48</v>
      </c>
      <c r="E15" s="134"/>
      <c r="G15" s="134"/>
    </row>
    <row r="16" spans="1:7">
      <c r="A16" s="35" t="s">
        <v>47</v>
      </c>
      <c r="B16" s="132">
        <v>12</v>
      </c>
      <c r="C16" s="132">
        <v>5</v>
      </c>
      <c r="D16" s="132">
        <v>7</v>
      </c>
      <c r="E16" s="134"/>
      <c r="G16" s="134"/>
    </row>
    <row r="17" spans="1:7">
      <c r="A17" s="35" t="s">
        <v>38</v>
      </c>
      <c r="B17" s="132">
        <v>661</v>
      </c>
      <c r="C17" s="132">
        <v>278</v>
      </c>
      <c r="D17" s="132">
        <v>383</v>
      </c>
      <c r="E17" s="134"/>
      <c r="G17" s="134"/>
    </row>
    <row r="18" spans="1:7">
      <c r="A18" s="35" t="s">
        <v>39</v>
      </c>
      <c r="B18" s="132">
        <v>15317</v>
      </c>
      <c r="C18" s="132">
        <v>7101</v>
      </c>
      <c r="D18" s="132">
        <v>8216</v>
      </c>
      <c r="E18" s="134"/>
      <c r="G18" s="134"/>
    </row>
    <row r="19" spans="1:7">
      <c r="A19" s="35" t="s">
        <v>105</v>
      </c>
      <c r="B19" s="132">
        <v>6754</v>
      </c>
      <c r="C19" s="132">
        <v>2827</v>
      </c>
      <c r="D19" s="132">
        <v>3927</v>
      </c>
      <c r="E19" s="134"/>
      <c r="G19" s="134"/>
    </row>
    <row r="20" spans="1:7">
      <c r="A20" s="35" t="s">
        <v>162</v>
      </c>
      <c r="B20" s="132">
        <v>1561</v>
      </c>
      <c r="C20" s="132">
        <v>713</v>
      </c>
      <c r="D20" s="132">
        <v>848</v>
      </c>
      <c r="E20" s="134"/>
      <c r="G20" s="134"/>
    </row>
    <row r="21" spans="1:7">
      <c r="A21" s="35" t="s">
        <v>42</v>
      </c>
      <c r="B21" s="132">
        <v>366</v>
      </c>
      <c r="C21" s="132">
        <v>174</v>
      </c>
      <c r="D21" s="132">
        <v>192</v>
      </c>
      <c r="E21" s="134"/>
      <c r="G21" s="134"/>
    </row>
    <row r="22" spans="1:7">
      <c r="A22" s="35" t="s">
        <v>31</v>
      </c>
      <c r="B22" s="132">
        <v>82</v>
      </c>
      <c r="C22" s="132">
        <v>21</v>
      </c>
      <c r="D22" s="132">
        <v>61</v>
      </c>
      <c r="E22" s="134"/>
      <c r="G22" s="134"/>
    </row>
    <row r="23" spans="1:7">
      <c r="A23" s="35" t="s">
        <v>52</v>
      </c>
      <c r="B23" s="132">
        <v>4560</v>
      </c>
      <c r="C23" s="132">
        <v>2079</v>
      </c>
      <c r="D23" s="132">
        <v>2481</v>
      </c>
      <c r="E23" s="134"/>
      <c r="G23" s="134"/>
    </row>
    <row r="24" spans="1:7">
      <c r="A24" s="43" t="s">
        <v>67</v>
      </c>
      <c r="B24" s="135">
        <f>SUM(B3:B23)</f>
        <v>42372</v>
      </c>
      <c r="C24" s="135">
        <f>SUM(C3:C23)</f>
        <v>19238</v>
      </c>
      <c r="D24" s="135">
        <f>SUM(D3:D23)</f>
        <v>23134</v>
      </c>
      <c r="G24" s="134"/>
    </row>
    <row r="26" spans="1:7">
      <c r="A26" t="s">
        <v>273</v>
      </c>
    </row>
  </sheetData>
  <mergeCells count="1">
    <mergeCell ref="B1:D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8054E-6F27-438A-95A4-16C8299EE223}">
  <sheetPr codeName="Sheet21">
    <tabColor theme="4" tint="0.39997558519241921"/>
  </sheetPr>
  <dimension ref="A1:AX19"/>
  <sheetViews>
    <sheetView zoomScale="70" zoomScaleNormal="70" workbookViewId="0">
      <selection activeCell="G25" sqref="G25"/>
    </sheetView>
  </sheetViews>
  <sheetFormatPr defaultRowHeight="14.5"/>
  <cols>
    <col min="1" max="10" width="20" style="240" customWidth="1"/>
    <col min="11" max="50" width="8.81640625" style="240"/>
  </cols>
  <sheetData>
    <row r="1" spans="1:10">
      <c r="A1" s="136" t="s">
        <v>179</v>
      </c>
      <c r="B1" s="136" t="s">
        <v>180</v>
      </c>
      <c r="C1" s="136" t="s">
        <v>181</v>
      </c>
      <c r="D1" s="136" t="s">
        <v>182</v>
      </c>
      <c r="E1" s="136" t="s">
        <v>183</v>
      </c>
      <c r="F1" s="136" t="s">
        <v>184</v>
      </c>
      <c r="G1" s="136" t="s">
        <v>185</v>
      </c>
      <c r="H1" s="136" t="s">
        <v>186</v>
      </c>
      <c r="I1" s="136" t="s">
        <v>187</v>
      </c>
      <c r="J1" s="136" t="s">
        <v>470</v>
      </c>
    </row>
    <row r="2" spans="1:10">
      <c r="A2" s="288" t="s">
        <v>188</v>
      </c>
      <c r="B2" s="288" t="s">
        <v>189</v>
      </c>
      <c r="C2" s="288" t="s">
        <v>2</v>
      </c>
      <c r="D2" s="288" t="s">
        <v>190</v>
      </c>
      <c r="E2" s="288" t="s">
        <v>191</v>
      </c>
      <c r="F2" s="288" t="s">
        <v>191</v>
      </c>
      <c r="G2" s="288" t="s">
        <v>192</v>
      </c>
      <c r="H2" s="288" t="s">
        <v>191</v>
      </c>
      <c r="I2" s="288" t="s">
        <v>193</v>
      </c>
      <c r="J2" s="289">
        <v>88.2</v>
      </c>
    </row>
    <row r="3" spans="1:10">
      <c r="A3" s="288" t="s">
        <v>188</v>
      </c>
      <c r="B3" s="288" t="s">
        <v>194</v>
      </c>
      <c r="C3" s="288" t="s">
        <v>2</v>
      </c>
      <c r="D3" s="288" t="s">
        <v>190</v>
      </c>
      <c r="E3" s="288" t="s">
        <v>191</v>
      </c>
      <c r="F3" s="288" t="s">
        <v>191</v>
      </c>
      <c r="G3" s="288" t="s">
        <v>192</v>
      </c>
      <c r="H3" s="288" t="s">
        <v>191</v>
      </c>
      <c r="I3" s="288" t="s">
        <v>193</v>
      </c>
      <c r="J3" s="289">
        <v>75.599999999999994</v>
      </c>
    </row>
    <row r="4" spans="1:10">
      <c r="A4" s="288" t="s">
        <v>188</v>
      </c>
      <c r="B4" s="288" t="s">
        <v>194</v>
      </c>
      <c r="C4" s="288" t="s">
        <v>2</v>
      </c>
      <c r="D4" s="288" t="s">
        <v>190</v>
      </c>
      <c r="E4" s="288" t="s">
        <v>191</v>
      </c>
      <c r="F4" s="288" t="s">
        <v>191</v>
      </c>
      <c r="G4" s="288" t="s">
        <v>191</v>
      </c>
      <c r="H4" s="288" t="s">
        <v>191</v>
      </c>
      <c r="I4" s="288" t="s">
        <v>193</v>
      </c>
      <c r="J4" s="289">
        <v>67.2</v>
      </c>
    </row>
    <row r="5" spans="1:10">
      <c r="A5" s="288" t="s">
        <v>188</v>
      </c>
      <c r="B5" s="288" t="s">
        <v>194</v>
      </c>
      <c r="C5" s="288" t="s">
        <v>2</v>
      </c>
      <c r="D5" s="288" t="s">
        <v>190</v>
      </c>
      <c r="E5" s="288" t="s">
        <v>191</v>
      </c>
      <c r="F5" s="288" t="s">
        <v>191</v>
      </c>
      <c r="G5" s="288" t="s">
        <v>195</v>
      </c>
      <c r="H5" s="288" t="s">
        <v>191</v>
      </c>
      <c r="I5" s="288" t="s">
        <v>193</v>
      </c>
      <c r="J5" s="289">
        <v>62.6</v>
      </c>
    </row>
    <row r="6" spans="1:10">
      <c r="A6" s="288" t="s">
        <v>188</v>
      </c>
      <c r="B6" s="288" t="s">
        <v>194</v>
      </c>
      <c r="C6" s="288" t="s">
        <v>2</v>
      </c>
      <c r="D6" s="288" t="s">
        <v>190</v>
      </c>
      <c r="E6" s="288" t="s">
        <v>191</v>
      </c>
      <c r="F6" s="288" t="s">
        <v>196</v>
      </c>
      <c r="G6" s="288" t="s">
        <v>191</v>
      </c>
      <c r="H6" s="288" t="s">
        <v>191</v>
      </c>
      <c r="I6" s="288" t="s">
        <v>193</v>
      </c>
      <c r="J6" s="289">
        <v>58.2</v>
      </c>
    </row>
    <row r="7" spans="1:10">
      <c r="A7" s="288" t="s">
        <v>188</v>
      </c>
      <c r="B7" s="288" t="s">
        <v>194</v>
      </c>
      <c r="C7" s="288" t="s">
        <v>2</v>
      </c>
      <c r="D7" s="288" t="s">
        <v>190</v>
      </c>
      <c r="E7" s="288" t="s">
        <v>191</v>
      </c>
      <c r="F7" s="288" t="s">
        <v>197</v>
      </c>
      <c r="G7" s="288" t="s">
        <v>191</v>
      </c>
      <c r="H7" s="288" t="s">
        <v>191</v>
      </c>
      <c r="I7" s="288" t="s">
        <v>193</v>
      </c>
      <c r="J7" s="289">
        <v>64.5</v>
      </c>
    </row>
    <row r="8" spans="1:10">
      <c r="A8" s="288" t="s">
        <v>188</v>
      </c>
      <c r="B8" s="288" t="s">
        <v>194</v>
      </c>
      <c r="C8" s="288" t="s">
        <v>2</v>
      </c>
      <c r="D8" s="288" t="s">
        <v>190</v>
      </c>
      <c r="E8" s="288" t="s">
        <v>191</v>
      </c>
      <c r="F8" s="288" t="s">
        <v>198</v>
      </c>
      <c r="G8" s="288" t="s">
        <v>191</v>
      </c>
      <c r="H8" s="288" t="s">
        <v>191</v>
      </c>
      <c r="I8" s="288" t="s">
        <v>193</v>
      </c>
      <c r="J8" s="289">
        <v>68.599999999999994</v>
      </c>
    </row>
    <row r="9" spans="1:10">
      <c r="A9" s="288" t="s">
        <v>188</v>
      </c>
      <c r="B9" s="288" t="s">
        <v>194</v>
      </c>
      <c r="C9" s="288" t="s">
        <v>2</v>
      </c>
      <c r="D9" s="288" t="s">
        <v>190</v>
      </c>
      <c r="E9" s="288" t="s">
        <v>191</v>
      </c>
      <c r="F9" s="288" t="s">
        <v>199</v>
      </c>
      <c r="G9" s="288" t="s">
        <v>191</v>
      </c>
      <c r="H9" s="288" t="s">
        <v>191</v>
      </c>
      <c r="I9" s="288" t="s">
        <v>193</v>
      </c>
      <c r="J9" s="289">
        <v>75</v>
      </c>
    </row>
    <row r="10" spans="1:10">
      <c r="A10" s="288" t="s">
        <v>188</v>
      </c>
      <c r="B10" s="288" t="s">
        <v>194</v>
      </c>
      <c r="C10" s="288" t="s">
        <v>2</v>
      </c>
      <c r="D10" s="288" t="s">
        <v>190</v>
      </c>
      <c r="E10" s="288" t="s">
        <v>191</v>
      </c>
      <c r="F10" s="288" t="s">
        <v>200</v>
      </c>
      <c r="G10" s="288" t="s">
        <v>191</v>
      </c>
      <c r="H10" s="288" t="s">
        <v>191</v>
      </c>
      <c r="I10" s="288" t="s">
        <v>193</v>
      </c>
      <c r="J10" s="289">
        <v>78.5</v>
      </c>
    </row>
    <row r="12" spans="1:10">
      <c r="A12" s="287" t="s">
        <v>201</v>
      </c>
    </row>
    <row r="13" spans="1:10">
      <c r="A13" s="240" t="s">
        <v>202</v>
      </c>
    </row>
    <row r="14" spans="1:10">
      <c r="A14" s="240" t="s">
        <v>203</v>
      </c>
    </row>
    <row r="15" spans="1:10">
      <c r="A15" s="240" t="s">
        <v>204</v>
      </c>
    </row>
    <row r="16" spans="1:10">
      <c r="A16" s="240" t="s">
        <v>205</v>
      </c>
    </row>
    <row r="17" spans="1:1">
      <c r="A17" s="240" t="s">
        <v>206</v>
      </c>
    </row>
    <row r="18" spans="1:1">
      <c r="A18" s="240" t="s">
        <v>207</v>
      </c>
    </row>
    <row r="19" spans="1:1">
      <c r="A19" s="240" t="s">
        <v>208</v>
      </c>
    </row>
  </sheetData>
  <phoneticPr fontId="57" type="noConversion"/>
  <pageMargins left="0.7" right="0.7" top="0.75" bottom="0.75" header="0.3" footer="0.3"/>
  <pageSetup orientation="portrait" horizontalDpi="4294967295" verticalDpi="4294967295"/>
  <legacy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206C3-12BB-428D-8ED9-EE8CEC6641BC}">
  <sheetPr>
    <tabColor theme="0" tint="-0.499984740745262"/>
  </sheetPr>
  <dimension ref="A1:AX27"/>
  <sheetViews>
    <sheetView topLeftCell="A13" zoomScale="70" zoomScaleNormal="70" workbookViewId="0">
      <selection activeCell="B27" sqref="B27"/>
    </sheetView>
  </sheetViews>
  <sheetFormatPr defaultRowHeight="14.5"/>
  <cols>
    <col min="1" max="1" width="17.81640625" style="240" customWidth="1"/>
    <col min="2" max="3" width="17" style="240" customWidth="1"/>
    <col min="4" max="50" width="8.81640625" style="240"/>
  </cols>
  <sheetData>
    <row r="1" spans="1:3" ht="92.15" customHeight="1">
      <c r="A1" s="28" t="s">
        <v>4</v>
      </c>
      <c r="B1" s="356" t="s">
        <v>459</v>
      </c>
      <c r="C1" s="356" t="s">
        <v>458</v>
      </c>
    </row>
    <row r="2" spans="1:3">
      <c r="A2" s="13" t="s">
        <v>47</v>
      </c>
      <c r="B2" s="294">
        <v>100</v>
      </c>
      <c r="C2" s="294">
        <v>7.6054300000000001</v>
      </c>
    </row>
    <row r="3" spans="1:3">
      <c r="A3" s="13" t="s">
        <v>49</v>
      </c>
      <c r="B3" s="294">
        <v>100</v>
      </c>
      <c r="C3" s="294">
        <v>17.006710000000002</v>
      </c>
    </row>
    <row r="4" spans="1:3">
      <c r="A4" s="13" t="s">
        <v>31</v>
      </c>
      <c r="B4" s="294">
        <v>99.9</v>
      </c>
      <c r="C4" s="294">
        <v>9.3407</v>
      </c>
    </row>
    <row r="5" spans="1:3">
      <c r="A5" s="13" t="s">
        <v>43</v>
      </c>
      <c r="B5" s="294">
        <v>99.9</v>
      </c>
      <c r="C5" s="294">
        <v>41.314790000000002</v>
      </c>
    </row>
    <row r="6" spans="1:3">
      <c r="A6" s="13" t="s">
        <v>41</v>
      </c>
      <c r="B6" s="294">
        <v>99.9</v>
      </c>
      <c r="C6" s="294">
        <v>72.127099999999999</v>
      </c>
    </row>
    <row r="7" spans="1:3">
      <c r="A7" s="13" t="s">
        <v>38</v>
      </c>
      <c r="B7" s="294">
        <v>99.8</v>
      </c>
      <c r="C7" s="294">
        <v>16.203759999999999</v>
      </c>
    </row>
    <row r="8" spans="1:3">
      <c r="A8" s="13" t="s">
        <v>51</v>
      </c>
      <c r="B8" s="294">
        <v>99.7</v>
      </c>
      <c r="C8" s="294">
        <v>20.43431</v>
      </c>
    </row>
    <row r="9" spans="1:3">
      <c r="A9" s="13" t="s">
        <v>42</v>
      </c>
      <c r="B9" s="294">
        <v>99.5</v>
      </c>
      <c r="C9" s="294">
        <v>36.625579999999999</v>
      </c>
    </row>
    <row r="10" spans="1:3">
      <c r="A10" s="13" t="s">
        <v>48</v>
      </c>
      <c r="B10" s="294">
        <v>99.2</v>
      </c>
      <c r="C10" s="295">
        <v>7.1708999999999996</v>
      </c>
    </row>
    <row r="11" spans="1:3">
      <c r="A11" s="13" t="s">
        <v>45</v>
      </c>
      <c r="B11" s="294">
        <v>98.8</v>
      </c>
      <c r="C11" s="294">
        <v>77.694789999999998</v>
      </c>
    </row>
    <row r="12" spans="1:3">
      <c r="A12" s="13" t="s">
        <v>37</v>
      </c>
      <c r="B12" s="294">
        <v>98.2</v>
      </c>
      <c r="C12" s="294">
        <v>15.897880000000001</v>
      </c>
    </row>
    <row r="13" spans="1:3">
      <c r="A13" s="13" t="s">
        <v>46</v>
      </c>
      <c r="B13" s="294">
        <v>98.2</v>
      </c>
      <c r="C13" s="294">
        <v>20.62462</v>
      </c>
    </row>
    <row r="14" spans="1:3">
      <c r="A14" s="13" t="s">
        <v>40</v>
      </c>
      <c r="B14" s="294">
        <v>97.2</v>
      </c>
      <c r="C14" s="294">
        <v>216.95373000000001</v>
      </c>
    </row>
    <row r="15" spans="1:3">
      <c r="A15" s="13" t="s">
        <v>33</v>
      </c>
      <c r="B15" s="294">
        <v>97.1</v>
      </c>
      <c r="C15" s="294">
        <v>16.819710000000001</v>
      </c>
    </row>
    <row r="16" spans="1:3">
      <c r="A16" s="13" t="s">
        <v>44</v>
      </c>
      <c r="B16" s="294">
        <v>96.2</v>
      </c>
      <c r="C16" s="294">
        <v>29.91733</v>
      </c>
    </row>
    <row r="17" spans="1:3">
      <c r="A17" s="13" t="s">
        <v>32</v>
      </c>
      <c r="B17" s="294">
        <v>95.6</v>
      </c>
      <c r="C17" s="294">
        <v>76.110460000000003</v>
      </c>
    </row>
    <row r="18" spans="1:3">
      <c r="A18" s="13" t="s">
        <v>34</v>
      </c>
      <c r="B18" s="294">
        <v>87.4</v>
      </c>
      <c r="C18" s="294">
        <v>234.49007</v>
      </c>
    </row>
    <row r="19" spans="1:3">
      <c r="A19" s="13" t="s">
        <v>35</v>
      </c>
      <c r="B19" s="294">
        <v>86.6</v>
      </c>
      <c r="C19" s="294">
        <v>71.851849999999999</v>
      </c>
    </row>
    <row r="20" spans="1:3">
      <c r="A20" s="13" t="s">
        <v>105</v>
      </c>
      <c r="B20" s="294">
        <v>77.7</v>
      </c>
      <c r="C20" s="294">
        <v>270.35534999999999</v>
      </c>
    </row>
    <row r="21" spans="1:3">
      <c r="A21" s="13" t="s">
        <v>36</v>
      </c>
      <c r="B21" s="294">
        <v>70.400000000000006</v>
      </c>
      <c r="C21" s="294">
        <v>463.83210000000003</v>
      </c>
    </row>
    <row r="22" spans="1:3">
      <c r="A22" s="13" t="s">
        <v>52</v>
      </c>
      <c r="B22" s="294">
        <v>60.9</v>
      </c>
      <c r="C22" s="294">
        <v>183.39972</v>
      </c>
    </row>
    <row r="23" spans="1:3">
      <c r="A23" s="13" t="s">
        <v>39</v>
      </c>
      <c r="B23" s="294">
        <v>31.9</v>
      </c>
      <c r="C23" s="294">
        <v>620.68232</v>
      </c>
    </row>
    <row r="24" spans="1:3">
      <c r="A24" s="15" t="s">
        <v>67</v>
      </c>
      <c r="B24" s="294">
        <v>88.4</v>
      </c>
      <c r="C24" s="294">
        <v>139.25069999999999</v>
      </c>
    </row>
    <row r="25" spans="1:3">
      <c r="A25" s="15" t="s">
        <v>110</v>
      </c>
      <c r="B25" s="294">
        <v>86.3</v>
      </c>
      <c r="C25" s="294">
        <v>223.5</v>
      </c>
    </row>
    <row r="26" spans="1:3">
      <c r="C26" s="291" t="s">
        <v>460</v>
      </c>
    </row>
    <row r="27" spans="1:3">
      <c r="A27" s="357" t="s">
        <v>25</v>
      </c>
      <c r="B27" s="172" t="s">
        <v>614</v>
      </c>
    </row>
  </sheetData>
  <sortState xmlns:xlrd2="http://schemas.microsoft.com/office/spreadsheetml/2017/richdata2" ref="A2:B23">
    <sortCondition descending="1" ref="B2:B23"/>
  </sortState>
  <hyperlinks>
    <hyperlink ref="B27" r:id="rId1" display="https://unstats.un.org/sdgs/dataportal" xr:uid="{F63364C8-6562-4899-9565-29DCCD0774C9}"/>
  </hyperlinks>
  <pageMargins left="0.7" right="0.7" top="0.75" bottom="0.75" header="0.3" footer="0.3"/>
  <pageSetup orientation="portrait"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48B3D-8C2C-452B-A42F-03D2C8410638}">
  <sheetPr>
    <tabColor theme="0" tint="-0.499984740745262"/>
  </sheetPr>
  <dimension ref="A1:AR22"/>
  <sheetViews>
    <sheetView zoomScale="70" zoomScaleNormal="70" workbookViewId="0">
      <selection activeCell="A20" sqref="A20:B20"/>
    </sheetView>
  </sheetViews>
  <sheetFormatPr defaultRowHeight="14.5"/>
  <cols>
    <col min="1" max="1" width="12.453125" style="240" customWidth="1"/>
    <col min="2" max="4" width="15.81640625" style="240" customWidth="1"/>
    <col min="5" max="44" width="8.81640625" style="240"/>
  </cols>
  <sheetData>
    <row r="1" spans="1:15" ht="32">
      <c r="A1" s="28" t="s">
        <v>4</v>
      </c>
      <c r="B1" s="345" t="s">
        <v>487</v>
      </c>
      <c r="C1" s="345" t="s">
        <v>486</v>
      </c>
      <c r="D1" s="345" t="s">
        <v>485</v>
      </c>
      <c r="E1" s="290"/>
    </row>
    <row r="2" spans="1:15">
      <c r="A2" s="13" t="s">
        <v>39</v>
      </c>
      <c r="B2" s="292">
        <v>45.3</v>
      </c>
      <c r="C2" s="293">
        <v>8.4</v>
      </c>
      <c r="D2" s="293">
        <v>115.65</v>
      </c>
      <c r="E2" s="290"/>
      <c r="L2" s="240" t="s">
        <v>178</v>
      </c>
      <c r="N2" s="240" t="s">
        <v>178</v>
      </c>
      <c r="O2" s="240" t="s">
        <v>178</v>
      </c>
    </row>
    <row r="3" spans="1:15">
      <c r="A3" s="13" t="s">
        <v>36</v>
      </c>
      <c r="B3" s="292">
        <v>36.6</v>
      </c>
      <c r="C3" s="293">
        <v>15.5</v>
      </c>
      <c r="D3" s="293">
        <v>89.64</v>
      </c>
      <c r="E3" s="290"/>
      <c r="L3" s="240" t="s">
        <v>178</v>
      </c>
      <c r="N3" s="240" t="s">
        <v>178</v>
      </c>
    </row>
    <row r="4" spans="1:15">
      <c r="A4" s="13" t="s">
        <v>105</v>
      </c>
      <c r="B4" s="292">
        <v>34.200000000000003</v>
      </c>
      <c r="C4" s="293">
        <v>11.9</v>
      </c>
      <c r="D4" s="293">
        <v>86.82</v>
      </c>
      <c r="E4" s="290"/>
    </row>
    <row r="5" spans="1:15">
      <c r="A5" s="13" t="s">
        <v>52</v>
      </c>
      <c r="B5" s="292">
        <v>29.6</v>
      </c>
      <c r="C5" s="293">
        <v>6.5</v>
      </c>
      <c r="D5" s="293">
        <v>77</v>
      </c>
      <c r="E5" s="290"/>
    </row>
    <row r="6" spans="1:15">
      <c r="A6" s="13" t="s">
        <v>32</v>
      </c>
      <c r="B6" s="292">
        <v>27.9</v>
      </c>
      <c r="C6" s="293">
        <v>7.2</v>
      </c>
      <c r="D6" s="293">
        <v>69.989999999999995</v>
      </c>
      <c r="E6" s="290"/>
    </row>
    <row r="7" spans="1:15">
      <c r="A7" s="13" t="s">
        <v>40</v>
      </c>
      <c r="B7" s="292">
        <v>20.7</v>
      </c>
      <c r="C7" s="293">
        <v>4.9000000000000004</v>
      </c>
      <c r="D7" s="293">
        <v>74.36</v>
      </c>
      <c r="E7" s="290"/>
    </row>
    <row r="8" spans="1:15">
      <c r="A8" s="13" t="s">
        <v>33</v>
      </c>
      <c r="B8" s="292">
        <v>15.8</v>
      </c>
      <c r="C8" s="293">
        <v>1.8</v>
      </c>
      <c r="D8" s="293">
        <v>50</v>
      </c>
      <c r="E8" s="290"/>
    </row>
    <row r="9" spans="1:15">
      <c r="A9" s="13" t="s">
        <v>35</v>
      </c>
      <c r="B9" s="292">
        <v>13.7</v>
      </c>
      <c r="C9" s="293">
        <v>0.5</v>
      </c>
      <c r="D9" s="293">
        <v>21.66</v>
      </c>
      <c r="E9" s="290"/>
    </row>
    <row r="10" spans="1:15">
      <c r="A10" s="13" t="s">
        <v>51</v>
      </c>
      <c r="B10" s="292">
        <v>13.4</v>
      </c>
      <c r="C10" s="293">
        <v>0.7</v>
      </c>
      <c r="D10" s="293">
        <v>42.84</v>
      </c>
      <c r="E10" s="290"/>
    </row>
    <row r="11" spans="1:15">
      <c r="A11" s="13" t="s">
        <v>44</v>
      </c>
      <c r="B11" s="292">
        <v>13.3</v>
      </c>
      <c r="C11" s="293">
        <v>2.5</v>
      </c>
      <c r="D11" s="293">
        <v>54</v>
      </c>
      <c r="E11" s="290"/>
    </row>
    <row r="12" spans="1:15">
      <c r="A12" s="13" t="s">
        <v>43</v>
      </c>
      <c r="B12" s="292">
        <v>9.6999999999999993</v>
      </c>
      <c r="C12" s="293">
        <v>1.5</v>
      </c>
      <c r="D12" s="293">
        <v>17</v>
      </c>
      <c r="E12" s="290"/>
      <c r="N12" s="240" t="s">
        <v>178</v>
      </c>
      <c r="O12" s="240" t="s">
        <v>178</v>
      </c>
    </row>
    <row r="13" spans="1:15">
      <c r="A13" s="13" t="s">
        <v>34</v>
      </c>
      <c r="B13" s="292">
        <v>6.5</v>
      </c>
      <c r="C13" s="293">
        <v>1.4</v>
      </c>
      <c r="D13" s="293">
        <v>20.98</v>
      </c>
      <c r="E13" s="290"/>
    </row>
    <row r="14" spans="1:15">
      <c r="A14" s="13" t="s">
        <v>46</v>
      </c>
      <c r="B14" s="292">
        <v>6</v>
      </c>
      <c r="C14" s="293">
        <v>1.4</v>
      </c>
      <c r="D14" s="293">
        <v>16.670000000000002</v>
      </c>
      <c r="E14" s="290"/>
    </row>
    <row r="15" spans="1:15">
      <c r="A15" s="13" t="s">
        <v>47</v>
      </c>
      <c r="B15" s="292">
        <v>4.2</v>
      </c>
      <c r="C15" s="293">
        <v>0</v>
      </c>
      <c r="D15" s="293">
        <v>4.7300000000000004</v>
      </c>
      <c r="E15" s="290"/>
    </row>
    <row r="16" spans="1:15">
      <c r="A16" s="13" t="s">
        <v>49</v>
      </c>
      <c r="B16" s="292">
        <v>4</v>
      </c>
      <c r="C16" s="293">
        <v>1.2</v>
      </c>
      <c r="D16" s="293">
        <v>5.91</v>
      </c>
      <c r="E16" s="290"/>
    </row>
    <row r="17" spans="1:5">
      <c r="A17" s="13" t="s">
        <v>45</v>
      </c>
      <c r="B17" s="292">
        <v>3.8</v>
      </c>
      <c r="C17" s="293">
        <v>0</v>
      </c>
      <c r="D17" s="293">
        <v>11</v>
      </c>
      <c r="E17" s="290"/>
    </row>
    <row r="18" spans="1:5">
      <c r="A18" s="13" t="s">
        <v>42</v>
      </c>
      <c r="B18" s="292">
        <v>1.5</v>
      </c>
      <c r="C18" s="293">
        <v>0</v>
      </c>
      <c r="D18" s="293">
        <v>4.04</v>
      </c>
      <c r="E18" s="290"/>
    </row>
    <row r="19" spans="1:5">
      <c r="A19" s="290"/>
      <c r="B19" s="290"/>
      <c r="C19" s="290"/>
      <c r="D19" s="290"/>
      <c r="E19" s="290"/>
    </row>
    <row r="20" spans="1:5">
      <c r="A20" s="357" t="s">
        <v>25</v>
      </c>
      <c r="B20" s="172" t="s">
        <v>614</v>
      </c>
      <c r="C20" s="290"/>
      <c r="D20" s="290"/>
      <c r="E20" s="290"/>
    </row>
    <row r="21" spans="1:5">
      <c r="A21" s="290"/>
      <c r="B21" s="290"/>
      <c r="C21" s="290"/>
      <c r="D21" s="290"/>
      <c r="E21" s="290"/>
    </row>
    <row r="22" spans="1:5">
      <c r="A22" s="290"/>
      <c r="B22" s="290"/>
      <c r="C22" s="290"/>
      <c r="D22" s="290"/>
      <c r="E22" s="290"/>
    </row>
  </sheetData>
  <hyperlinks>
    <hyperlink ref="B20" r:id="rId1" display="https://unstats.un.org/sdgs/dataportal" xr:uid="{BF3538D2-EFA7-4658-82A3-7128DB09CE1C}"/>
  </hyperlinks>
  <pageMargins left="0.7" right="0.7" top="0.75" bottom="0.75" header="0.3" footer="0.3"/>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E6E53-A04A-407E-97F1-ADC9312CF6A8}">
  <sheetPr codeName="Sheet23">
    <tabColor theme="6" tint="0.39997558519241921"/>
  </sheetPr>
  <dimension ref="A1:K14"/>
  <sheetViews>
    <sheetView showGridLines="0" zoomScale="70" zoomScaleNormal="70" workbookViewId="0">
      <selection activeCell="A8" sqref="A8"/>
    </sheetView>
  </sheetViews>
  <sheetFormatPr defaultRowHeight="14.5"/>
  <cols>
    <col min="1" max="1" width="15.1796875" customWidth="1"/>
    <col min="2" max="2" width="11.1796875" customWidth="1"/>
    <col min="4" max="4" width="10.1796875" customWidth="1"/>
    <col min="6" max="6" width="10.1796875" customWidth="1"/>
    <col min="9" max="9" width="11.453125" customWidth="1"/>
    <col min="11" max="11" width="11.453125" customWidth="1"/>
  </cols>
  <sheetData>
    <row r="1" spans="1:11" ht="29.15" customHeight="1">
      <c r="C1" s="475" t="s">
        <v>214</v>
      </c>
      <c r="D1" s="475"/>
      <c r="E1" s="475"/>
      <c r="F1" s="475"/>
      <c r="H1" s="475" t="s">
        <v>434</v>
      </c>
      <c r="I1" s="475"/>
      <c r="J1" s="475"/>
      <c r="K1" s="475"/>
    </row>
    <row r="2" spans="1:11">
      <c r="C2" s="476" t="s">
        <v>2</v>
      </c>
      <c r="D2" s="476"/>
      <c r="E2" s="476" t="s">
        <v>3</v>
      </c>
      <c r="F2" s="476"/>
      <c r="H2" s="476" t="s">
        <v>2</v>
      </c>
      <c r="I2" s="476"/>
      <c r="J2" s="476" t="s">
        <v>3</v>
      </c>
      <c r="K2" s="476"/>
    </row>
    <row r="3" spans="1:11">
      <c r="A3" s="100" t="s">
        <v>215</v>
      </c>
      <c r="B3" s="100" t="s">
        <v>216</v>
      </c>
      <c r="C3" s="99" t="s">
        <v>112</v>
      </c>
      <c r="D3" s="99" t="s">
        <v>102</v>
      </c>
      <c r="E3" s="99" t="s">
        <v>112</v>
      </c>
      <c r="F3" s="99" t="s">
        <v>102</v>
      </c>
      <c r="H3" s="99" t="s">
        <v>112</v>
      </c>
      <c r="I3" s="99" t="s">
        <v>102</v>
      </c>
      <c r="J3" s="99" t="s">
        <v>112</v>
      </c>
      <c r="K3" s="99" t="s">
        <v>102</v>
      </c>
    </row>
    <row r="4" spans="1:11" ht="13.5" customHeight="1">
      <c r="A4" s="101" t="s">
        <v>217</v>
      </c>
      <c r="B4" s="101" t="s">
        <v>218</v>
      </c>
      <c r="C4" s="102">
        <v>28</v>
      </c>
      <c r="D4" s="38"/>
      <c r="E4" s="102">
        <v>26.6</v>
      </c>
      <c r="F4" s="38"/>
      <c r="H4" s="102">
        <f>100-C4</f>
        <v>72</v>
      </c>
      <c r="I4" s="38"/>
      <c r="J4" s="102">
        <f>100-E4</f>
        <v>73.400000000000006</v>
      </c>
      <c r="K4" s="38"/>
    </row>
    <row r="5" spans="1:11" ht="13.5" customHeight="1">
      <c r="A5" s="101" t="s">
        <v>217</v>
      </c>
      <c r="B5" s="101" t="s">
        <v>219</v>
      </c>
      <c r="C5" s="102">
        <v>43.2</v>
      </c>
      <c r="D5" s="38"/>
      <c r="E5" s="102">
        <v>27.7</v>
      </c>
      <c r="F5" s="38"/>
      <c r="H5" s="102">
        <f t="shared" ref="H5:H12" si="0">100-C5</f>
        <v>56.8</v>
      </c>
      <c r="I5" s="38"/>
      <c r="J5" s="102">
        <f t="shared" ref="J5:J12" si="1">100-E5</f>
        <v>72.3</v>
      </c>
      <c r="K5" s="38"/>
    </row>
    <row r="6" spans="1:11" ht="13.5" customHeight="1">
      <c r="A6" s="101" t="s">
        <v>217</v>
      </c>
      <c r="B6" s="101" t="s">
        <v>220</v>
      </c>
      <c r="C6" s="102">
        <v>35.6</v>
      </c>
      <c r="D6" s="39">
        <v>1236391.2040000001</v>
      </c>
      <c r="E6" s="102">
        <v>27.1</v>
      </c>
      <c r="F6" s="39">
        <v>996393.28800000018</v>
      </c>
      <c r="H6" s="102">
        <f t="shared" si="0"/>
        <v>64.400000000000006</v>
      </c>
      <c r="I6" s="55">
        <v>2236617.7960000001</v>
      </c>
      <c r="J6" s="102">
        <f t="shared" si="1"/>
        <v>72.900000000000006</v>
      </c>
      <c r="K6" s="55">
        <v>2680334.7120000003</v>
      </c>
    </row>
    <row r="7" spans="1:11" ht="13.5" customHeight="1">
      <c r="A7" s="101" t="s">
        <v>221</v>
      </c>
      <c r="B7" s="101" t="s">
        <v>218</v>
      </c>
      <c r="C7" s="102">
        <v>23.2</v>
      </c>
      <c r="D7" s="38"/>
      <c r="E7" s="102">
        <v>21.3</v>
      </c>
      <c r="F7" s="38"/>
      <c r="H7" s="102">
        <f t="shared" si="0"/>
        <v>76.8</v>
      </c>
      <c r="I7" s="38"/>
      <c r="J7" s="102">
        <f t="shared" si="1"/>
        <v>78.7</v>
      </c>
      <c r="K7" s="38"/>
    </row>
    <row r="8" spans="1:11" ht="13.5" customHeight="1">
      <c r="A8" s="101" t="s">
        <v>221</v>
      </c>
      <c r="B8" s="101" t="s">
        <v>219</v>
      </c>
      <c r="C8" s="102">
        <v>67.3</v>
      </c>
      <c r="D8" s="38"/>
      <c r="E8" s="102">
        <v>54.7</v>
      </c>
      <c r="F8" s="38"/>
      <c r="H8" s="102">
        <f t="shared" si="0"/>
        <v>32.700000000000003</v>
      </c>
      <c r="I8" s="38"/>
      <c r="J8" s="102">
        <f t="shared" si="1"/>
        <v>45.3</v>
      </c>
      <c r="K8" s="38"/>
    </row>
    <row r="9" spans="1:11" ht="13.5" customHeight="1">
      <c r="A9" s="101" t="s">
        <v>221</v>
      </c>
      <c r="B9" s="101" t="s">
        <v>220</v>
      </c>
      <c r="C9" s="102">
        <v>45.2</v>
      </c>
      <c r="D9" s="39">
        <v>7285647.4280000003</v>
      </c>
      <c r="E9" s="102">
        <v>38</v>
      </c>
      <c r="F9" s="39">
        <v>6479093.8600000003</v>
      </c>
      <c r="H9" s="102">
        <f t="shared" si="0"/>
        <v>54.8</v>
      </c>
      <c r="I9" s="55">
        <v>8833041.5719999988</v>
      </c>
      <c r="J9" s="102">
        <f t="shared" si="1"/>
        <v>62</v>
      </c>
      <c r="K9" s="55">
        <v>10571153.140000001</v>
      </c>
    </row>
    <row r="10" spans="1:11" ht="13.5" customHeight="1">
      <c r="A10" s="103" t="s">
        <v>222</v>
      </c>
      <c r="B10" s="101" t="s">
        <v>218</v>
      </c>
      <c r="C10" s="102">
        <v>25.6</v>
      </c>
      <c r="D10" s="38"/>
      <c r="E10" s="102">
        <v>23.9</v>
      </c>
      <c r="F10" s="38"/>
      <c r="H10" s="102">
        <f t="shared" si="0"/>
        <v>74.400000000000006</v>
      </c>
      <c r="I10" s="38"/>
      <c r="J10" s="102">
        <f t="shared" si="1"/>
        <v>76.099999999999994</v>
      </c>
      <c r="K10" s="38"/>
    </row>
    <row r="11" spans="1:11" ht="13.5" customHeight="1">
      <c r="A11" s="103" t="s">
        <v>222</v>
      </c>
      <c r="B11" s="101" t="s">
        <v>219</v>
      </c>
      <c r="C11" s="102">
        <v>55.2</v>
      </c>
      <c r="D11" s="38"/>
      <c r="E11" s="102">
        <v>41.2</v>
      </c>
      <c r="F11" s="38"/>
      <c r="H11" s="102">
        <f t="shared" si="0"/>
        <v>44.8</v>
      </c>
      <c r="I11" s="38"/>
      <c r="J11" s="102">
        <f t="shared" si="1"/>
        <v>58.8</v>
      </c>
      <c r="K11" s="38"/>
    </row>
    <row r="12" spans="1:11" ht="13.5" customHeight="1">
      <c r="A12" s="103" t="s">
        <v>222</v>
      </c>
      <c r="B12" s="101" t="s">
        <v>220</v>
      </c>
      <c r="C12" s="102">
        <v>40.4</v>
      </c>
      <c r="D12" s="104">
        <v>8522038.6320000011</v>
      </c>
      <c r="E12" s="102">
        <v>32.6</v>
      </c>
      <c r="F12" s="104">
        <v>7475487.148</v>
      </c>
      <c r="H12" s="102">
        <f t="shared" si="0"/>
        <v>59.6</v>
      </c>
      <c r="I12" s="55">
        <v>11069659.367999999</v>
      </c>
      <c r="J12" s="102">
        <f t="shared" si="1"/>
        <v>67.400000000000006</v>
      </c>
      <c r="K12" s="55">
        <v>13251487.852000002</v>
      </c>
    </row>
    <row r="14" spans="1:11">
      <c r="A14" s="234" t="s">
        <v>223</v>
      </c>
    </row>
  </sheetData>
  <mergeCells count="6">
    <mergeCell ref="C1:F1"/>
    <mergeCell ref="H1:K1"/>
    <mergeCell ref="C2:D2"/>
    <mergeCell ref="E2:F2"/>
    <mergeCell ref="H2:I2"/>
    <mergeCell ref="J2:K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F3A9D-9F38-4FAA-B6F9-7724D7C42AC9}">
  <sheetPr codeName="Sheet25">
    <tabColor theme="6" tint="0.39997558519241921"/>
  </sheetPr>
  <dimension ref="A1:H10"/>
  <sheetViews>
    <sheetView showGridLines="0" zoomScale="70" zoomScaleNormal="70" workbookViewId="0">
      <pane xSplit="2" ySplit="3" topLeftCell="C4" activePane="bottomRight" state="frozen"/>
      <selection pane="topRight" activeCell="C1" sqref="C1:F1"/>
      <selection pane="bottomLeft" activeCell="C1" sqref="C1:F1"/>
      <selection pane="bottomRight" activeCell="C2" sqref="C2:E2"/>
    </sheetView>
  </sheetViews>
  <sheetFormatPr defaultRowHeight="14.5"/>
  <cols>
    <col min="1" max="1" width="12.453125" bestFit="1" customWidth="1"/>
    <col min="2" max="2" width="10.453125" bestFit="1" customWidth="1"/>
  </cols>
  <sheetData>
    <row r="1" spans="1:8" ht="16">
      <c r="A1" t="s">
        <v>90</v>
      </c>
      <c r="C1" s="477" t="s">
        <v>227</v>
      </c>
      <c r="D1" s="477"/>
      <c r="E1" s="477"/>
      <c r="F1" s="477"/>
      <c r="G1" s="477"/>
      <c r="H1" s="477"/>
    </row>
    <row r="2" spans="1:8">
      <c r="C2" s="478" t="s">
        <v>228</v>
      </c>
      <c r="D2" s="478"/>
      <c r="E2" s="478"/>
      <c r="F2" s="478" t="s">
        <v>229</v>
      </c>
      <c r="G2" s="478"/>
      <c r="H2" s="478"/>
    </row>
    <row r="3" spans="1:8">
      <c r="A3" s="35" t="s">
        <v>113</v>
      </c>
      <c r="B3" s="35" t="s">
        <v>104</v>
      </c>
      <c r="C3" s="107" t="s">
        <v>114</v>
      </c>
      <c r="D3" s="107" t="s">
        <v>115</v>
      </c>
      <c r="E3" s="107" t="s">
        <v>116</v>
      </c>
      <c r="F3" s="107" t="s">
        <v>114</v>
      </c>
      <c r="G3" s="107" t="s">
        <v>115</v>
      </c>
      <c r="H3" s="107" t="s">
        <v>116</v>
      </c>
    </row>
    <row r="4" spans="1:8">
      <c r="A4" s="38" t="s">
        <v>67</v>
      </c>
      <c r="B4" s="38">
        <v>2000</v>
      </c>
      <c r="C4" s="108">
        <v>74.906480000000002</v>
      </c>
      <c r="D4" s="108">
        <v>70.045649999999995</v>
      </c>
      <c r="E4" s="108">
        <v>79.567939999999993</v>
      </c>
      <c r="F4" s="108">
        <v>55.186210000000003</v>
      </c>
      <c r="G4" s="108">
        <v>52.284439999999996</v>
      </c>
      <c r="H4" s="108">
        <v>57.950299999999999</v>
      </c>
    </row>
    <row r="5" spans="1:8">
      <c r="A5" s="38" t="s">
        <v>67</v>
      </c>
      <c r="B5" s="38">
        <v>2005</v>
      </c>
      <c r="C5" s="108">
        <v>80.867859999999993</v>
      </c>
      <c r="D5" s="108">
        <v>76.397689999999997</v>
      </c>
      <c r="E5" s="108">
        <v>85.161789999999996</v>
      </c>
      <c r="F5" s="108">
        <v>62.111350000000002</v>
      </c>
      <c r="G5" s="108">
        <v>60.184109999999997</v>
      </c>
      <c r="H5" s="108">
        <v>63.97383</v>
      </c>
    </row>
    <row r="6" spans="1:8">
      <c r="A6" s="38" t="s">
        <v>67</v>
      </c>
      <c r="B6" s="38">
        <v>2010</v>
      </c>
      <c r="C6" s="108">
        <v>81.967160000000007</v>
      </c>
      <c r="D6" s="108">
        <v>78.501159999999999</v>
      </c>
      <c r="E6" s="108">
        <v>85.285989999999998</v>
      </c>
      <c r="F6" s="108">
        <v>61.459420000000001</v>
      </c>
      <c r="G6" s="108">
        <v>61.202080000000002</v>
      </c>
      <c r="H6" s="108">
        <v>61.711939999999998</v>
      </c>
    </row>
    <row r="7" spans="1:8">
      <c r="A7" s="38" t="s">
        <v>67</v>
      </c>
      <c r="B7" s="38">
        <v>2015</v>
      </c>
      <c r="C7" s="108">
        <v>80.009029999999996</v>
      </c>
      <c r="D7" s="108">
        <v>77.554760000000002</v>
      </c>
      <c r="E7" s="108">
        <v>82.37567</v>
      </c>
      <c r="F7" s="108">
        <v>63.420870000000001</v>
      </c>
      <c r="G7" s="108">
        <v>63.232320000000001</v>
      </c>
      <c r="H7" s="108">
        <v>63.633699999999997</v>
      </c>
    </row>
    <row r="8" spans="1:8">
      <c r="A8" s="38" t="s">
        <v>67</v>
      </c>
      <c r="B8" s="38">
        <v>2020</v>
      </c>
      <c r="C8" s="108">
        <v>82.214939999999999</v>
      </c>
      <c r="D8" s="108">
        <v>80.311030000000002</v>
      </c>
      <c r="E8" s="108">
        <v>84.043199999999999</v>
      </c>
      <c r="F8" s="108">
        <v>65.266769999999994</v>
      </c>
      <c r="G8" s="108">
        <v>65.639499999999998</v>
      </c>
      <c r="H8" s="108">
        <v>64.907510000000002</v>
      </c>
    </row>
    <row r="9" spans="1:8">
      <c r="A9" s="38" t="s">
        <v>67</v>
      </c>
      <c r="B9" s="38">
        <v>2021</v>
      </c>
      <c r="C9" s="108">
        <v>82.484870000000001</v>
      </c>
      <c r="D9" s="108">
        <v>80.436480000000003</v>
      </c>
      <c r="E9" s="108">
        <v>84.450999999999993</v>
      </c>
      <c r="F9" s="108">
        <v>67.916929999999994</v>
      </c>
      <c r="G9" s="108">
        <v>67.829300000000003</v>
      </c>
      <c r="H9" s="108">
        <v>68.000990000000002</v>
      </c>
    </row>
    <row r="10" spans="1:8">
      <c r="A10" s="246" t="s">
        <v>67</v>
      </c>
      <c r="B10" s="246">
        <v>2022</v>
      </c>
      <c r="C10" s="108">
        <v>82.319720000000004</v>
      </c>
      <c r="D10" s="261">
        <v>80.551259999999999</v>
      </c>
      <c r="E10" s="261">
        <v>84.018690000000007</v>
      </c>
      <c r="F10" s="108">
        <v>67.082650000000001</v>
      </c>
      <c r="G10" s="261">
        <v>67.896240000000006</v>
      </c>
      <c r="H10" s="261">
        <v>66.303229999999999</v>
      </c>
    </row>
  </sheetData>
  <mergeCells count="3">
    <mergeCell ref="C1:H1"/>
    <mergeCell ref="C2:E2"/>
    <mergeCell ref="F2:H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2D0CA-A273-49BF-9620-3CECC26EBFC4}">
  <sheetPr codeName="Sheet24">
    <tabColor theme="6" tint="0.39997558519241921"/>
  </sheetPr>
  <dimension ref="A1:E6"/>
  <sheetViews>
    <sheetView showGridLines="0" zoomScale="70" zoomScaleNormal="70" workbookViewId="0">
      <pane xSplit="1" ySplit="2" topLeftCell="B3" activePane="bottomRight" state="frozen"/>
      <selection pane="topRight" activeCell="C1" sqref="C1:F1"/>
      <selection pane="bottomLeft" activeCell="C1" sqref="C1:F1"/>
      <selection pane="bottomRight" activeCell="C1" sqref="C1:E1"/>
    </sheetView>
  </sheetViews>
  <sheetFormatPr defaultRowHeight="14.5"/>
  <cols>
    <col min="1" max="1" width="15" bestFit="1" customWidth="1"/>
    <col min="2" max="2" width="10.453125" bestFit="1" customWidth="1"/>
    <col min="3" max="3" width="13.453125" style="106" customWidth="1"/>
    <col min="4" max="5" width="13.453125" customWidth="1"/>
  </cols>
  <sheetData>
    <row r="1" spans="1:5" ht="27" customHeight="1">
      <c r="C1" s="479" t="s">
        <v>230</v>
      </c>
      <c r="D1" s="479"/>
      <c r="E1" s="479"/>
    </row>
    <row r="2" spans="1:5">
      <c r="A2" s="35" t="s">
        <v>113</v>
      </c>
      <c r="B2" s="35" t="s">
        <v>104</v>
      </c>
      <c r="C2" s="99" t="s">
        <v>114</v>
      </c>
      <c r="D2" s="99" t="s">
        <v>115</v>
      </c>
      <c r="E2" s="99" t="s">
        <v>116</v>
      </c>
    </row>
    <row r="3" spans="1:5">
      <c r="A3" s="35" t="s">
        <v>67</v>
      </c>
      <c r="B3" s="44">
        <v>2023</v>
      </c>
      <c r="C3" s="105">
        <v>76.900000000000006</v>
      </c>
      <c r="D3" s="105">
        <v>78.7</v>
      </c>
      <c r="E3" s="105">
        <v>75.2</v>
      </c>
    </row>
    <row r="6" spans="1:5">
      <c r="A6" t="s">
        <v>231</v>
      </c>
    </row>
  </sheetData>
  <mergeCells count="1">
    <mergeCell ref="C1:E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A270-4CD3-4D04-89ED-579AFABCCD34}">
  <sheetPr codeName="Sheet26">
    <tabColor theme="4" tint="0.39997558519241921"/>
  </sheetPr>
  <dimension ref="A1:J51"/>
  <sheetViews>
    <sheetView showGridLines="0" zoomScale="70" zoomScaleNormal="70" workbookViewId="0">
      <pane xSplit="2" ySplit="3" topLeftCell="C30" activePane="bottomRight" state="frozen"/>
      <selection pane="topRight" activeCell="C1" sqref="C1:F1"/>
      <selection pane="bottomLeft" activeCell="C1" sqref="C1:F1"/>
      <selection pane="bottomRight" activeCell="D43" sqref="D43"/>
    </sheetView>
  </sheetViews>
  <sheetFormatPr defaultRowHeight="14.5"/>
  <cols>
    <col min="1" max="1" width="17.1796875" bestFit="1" customWidth="1"/>
    <col min="2" max="2" width="10.54296875" bestFit="1" customWidth="1"/>
    <col min="3" max="3" width="15" bestFit="1" customWidth="1"/>
    <col min="4" max="9" width="15.453125" customWidth="1"/>
    <col min="10" max="10" width="15.1796875" customWidth="1"/>
  </cols>
  <sheetData>
    <row r="1" spans="1:10">
      <c r="A1" t="s">
        <v>232</v>
      </c>
      <c r="C1" s="109"/>
      <c r="D1" s="480" t="s">
        <v>233</v>
      </c>
      <c r="E1" s="480"/>
      <c r="F1" s="480"/>
      <c r="G1" s="480"/>
      <c r="H1" s="480"/>
      <c r="I1" s="480"/>
      <c r="J1" s="109"/>
    </row>
    <row r="2" spans="1:10">
      <c r="C2" s="109"/>
      <c r="D2" s="481" t="s">
        <v>102</v>
      </c>
      <c r="E2" s="478"/>
      <c r="F2" s="478"/>
      <c r="G2" s="478" t="s">
        <v>112</v>
      </c>
      <c r="H2" s="478"/>
      <c r="I2" s="482"/>
      <c r="J2" s="109"/>
    </row>
    <row r="3" spans="1:10">
      <c r="A3" s="35" t="s">
        <v>113</v>
      </c>
      <c r="B3" s="35" t="s">
        <v>104</v>
      </c>
      <c r="C3" s="109" t="s">
        <v>234</v>
      </c>
      <c r="D3" s="109" t="s">
        <v>114</v>
      </c>
      <c r="E3" s="109" t="s">
        <v>115</v>
      </c>
      <c r="F3" s="109" t="s">
        <v>116</v>
      </c>
      <c r="G3" s="109" t="s">
        <v>114</v>
      </c>
      <c r="H3" s="109" t="s">
        <v>115</v>
      </c>
      <c r="I3" s="109" t="s">
        <v>116</v>
      </c>
      <c r="J3" s="109" t="s">
        <v>117</v>
      </c>
    </row>
    <row r="4" spans="1:10">
      <c r="A4" s="35" t="s">
        <v>67</v>
      </c>
      <c r="B4" s="35">
        <v>2000</v>
      </c>
      <c r="C4" s="35" t="s">
        <v>225</v>
      </c>
      <c r="D4" s="110">
        <v>8919688</v>
      </c>
      <c r="E4" s="110">
        <v>5231112</v>
      </c>
      <c r="F4" s="110">
        <v>3688576</v>
      </c>
      <c r="G4" s="105">
        <v>21.88</v>
      </c>
      <c r="H4" s="105">
        <v>26.22</v>
      </c>
      <c r="I4" s="105">
        <v>17.72</v>
      </c>
      <c r="J4" s="35"/>
    </row>
    <row r="5" spans="1:10">
      <c r="A5" s="35" t="s">
        <v>67</v>
      </c>
      <c r="B5" s="35">
        <v>2005</v>
      </c>
      <c r="C5" s="35" t="s">
        <v>225</v>
      </c>
      <c r="D5" s="110">
        <v>7746586</v>
      </c>
      <c r="E5" s="110">
        <v>4430324</v>
      </c>
      <c r="F5" s="110">
        <v>3316262</v>
      </c>
      <c r="G5" s="105">
        <v>18.059999999999999</v>
      </c>
      <c r="H5" s="105">
        <v>21.11</v>
      </c>
      <c r="I5" s="105">
        <v>15.14</v>
      </c>
      <c r="J5" s="35"/>
    </row>
    <row r="6" spans="1:10">
      <c r="A6" s="35" t="s">
        <v>67</v>
      </c>
      <c r="B6" s="35">
        <v>2010</v>
      </c>
      <c r="C6" s="35" t="s">
        <v>225</v>
      </c>
      <c r="D6" s="110">
        <v>6389977</v>
      </c>
      <c r="E6" s="110">
        <v>3611490</v>
      </c>
      <c r="F6" s="110">
        <v>2778487</v>
      </c>
      <c r="G6" s="105">
        <v>14.66</v>
      </c>
      <c r="H6" s="105">
        <v>16.940000000000001</v>
      </c>
      <c r="I6" s="105">
        <v>12.48</v>
      </c>
      <c r="J6" s="35"/>
    </row>
    <row r="7" spans="1:10">
      <c r="A7" s="35" t="s">
        <v>67</v>
      </c>
      <c r="B7" s="35">
        <v>2015</v>
      </c>
      <c r="C7" s="35" t="s">
        <v>225</v>
      </c>
      <c r="D7" s="110">
        <v>7509430</v>
      </c>
      <c r="E7" s="110">
        <v>3965433</v>
      </c>
      <c r="F7" s="110">
        <v>3543997</v>
      </c>
      <c r="G7" s="105">
        <v>15.75</v>
      </c>
      <c r="H7" s="105">
        <v>17.010000000000002</v>
      </c>
      <c r="I7" s="105">
        <v>14.54</v>
      </c>
      <c r="J7" s="35"/>
    </row>
    <row r="8" spans="1:10">
      <c r="A8" s="35" t="s">
        <v>67</v>
      </c>
      <c r="B8" s="35">
        <v>2016</v>
      </c>
      <c r="C8" s="35" t="s">
        <v>225</v>
      </c>
      <c r="D8" s="110">
        <v>7567118</v>
      </c>
      <c r="E8" s="110">
        <v>3961725</v>
      </c>
      <c r="F8" s="110">
        <v>3605393</v>
      </c>
      <c r="G8" s="105">
        <v>15.56</v>
      </c>
      <c r="H8" s="105">
        <v>16.66</v>
      </c>
      <c r="I8" s="105">
        <v>14.5</v>
      </c>
      <c r="J8" s="35"/>
    </row>
    <row r="9" spans="1:10">
      <c r="A9" s="35" t="s">
        <v>67</v>
      </c>
      <c r="B9" s="35">
        <v>2017</v>
      </c>
      <c r="C9" s="35" t="s">
        <v>225</v>
      </c>
      <c r="D9" s="110">
        <v>7438706</v>
      </c>
      <c r="E9" s="110">
        <v>4002040</v>
      </c>
      <c r="F9" s="110">
        <v>3436666</v>
      </c>
      <c r="G9" s="105">
        <v>14.97</v>
      </c>
      <c r="H9" s="105">
        <v>16.47</v>
      </c>
      <c r="I9" s="105">
        <v>13.52</v>
      </c>
      <c r="J9" s="35"/>
    </row>
    <row r="10" spans="1:10">
      <c r="A10" s="35" t="s">
        <v>67</v>
      </c>
      <c r="B10" s="35">
        <v>2018</v>
      </c>
      <c r="C10" s="35" t="s">
        <v>225</v>
      </c>
      <c r="D10" s="110">
        <v>7486015</v>
      </c>
      <c r="E10" s="110">
        <v>4020699</v>
      </c>
      <c r="F10" s="110">
        <v>3465316</v>
      </c>
      <c r="G10" s="105">
        <v>14.73</v>
      </c>
      <c r="H10" s="105">
        <v>16.2</v>
      </c>
      <c r="I10" s="105">
        <v>13.34</v>
      </c>
      <c r="J10" s="35"/>
    </row>
    <row r="11" spans="1:10">
      <c r="A11" s="35" t="s">
        <v>67</v>
      </c>
      <c r="B11" s="35">
        <v>2019</v>
      </c>
      <c r="C11" s="314" t="s">
        <v>225</v>
      </c>
      <c r="D11" s="315">
        <v>7677400</v>
      </c>
      <c r="E11" s="315">
        <v>4092747</v>
      </c>
      <c r="F11" s="315">
        <v>3584653</v>
      </c>
      <c r="G11" s="316">
        <v>14.72</v>
      </c>
      <c r="H11" s="316">
        <v>16.07</v>
      </c>
      <c r="I11" s="316">
        <v>13.44</v>
      </c>
      <c r="J11" s="314"/>
    </row>
    <row r="12" spans="1:10">
      <c r="A12" s="35" t="s">
        <v>67</v>
      </c>
      <c r="B12" s="35">
        <v>2000</v>
      </c>
      <c r="C12" s="35" t="s">
        <v>224</v>
      </c>
      <c r="D12" s="110">
        <v>5516613</v>
      </c>
      <c r="E12" s="110">
        <v>3289949</v>
      </c>
      <c r="F12" s="110">
        <v>2226664</v>
      </c>
      <c r="G12" s="105">
        <v>27.79</v>
      </c>
      <c r="H12" s="105">
        <v>33.83</v>
      </c>
      <c r="I12" s="105">
        <v>22</v>
      </c>
      <c r="J12" s="35"/>
    </row>
    <row r="13" spans="1:10">
      <c r="A13" s="35" t="s">
        <v>67</v>
      </c>
      <c r="B13" s="35">
        <v>2005</v>
      </c>
      <c r="C13" s="35" t="s">
        <v>224</v>
      </c>
      <c r="D13" s="110">
        <v>5007524</v>
      </c>
      <c r="E13" s="110">
        <v>2917798</v>
      </c>
      <c r="F13" s="110">
        <v>2089726</v>
      </c>
      <c r="G13" s="105">
        <v>22.99</v>
      </c>
      <c r="H13" s="105">
        <v>27.38</v>
      </c>
      <c r="I13" s="105">
        <v>18.78</v>
      </c>
      <c r="J13" s="35"/>
    </row>
    <row r="14" spans="1:10">
      <c r="A14" s="35" t="s">
        <v>67</v>
      </c>
      <c r="B14" s="35">
        <v>2010</v>
      </c>
      <c r="C14" s="35" t="s">
        <v>224</v>
      </c>
      <c r="D14" s="110">
        <v>4699715</v>
      </c>
      <c r="E14" s="110">
        <v>2616217</v>
      </c>
      <c r="F14" s="110">
        <v>2083498</v>
      </c>
      <c r="G14" s="105">
        <v>20.34</v>
      </c>
      <c r="H14" s="105">
        <v>23.14</v>
      </c>
      <c r="I14" s="105">
        <v>17.66</v>
      </c>
      <c r="J14" s="35"/>
    </row>
    <row r="15" spans="1:10">
      <c r="A15" s="35" t="s">
        <v>67</v>
      </c>
      <c r="B15" s="35">
        <v>2015</v>
      </c>
      <c r="C15" s="35" t="s">
        <v>224</v>
      </c>
      <c r="D15" s="110">
        <v>4528490</v>
      </c>
      <c r="E15" s="110">
        <v>2477715</v>
      </c>
      <c r="F15" s="110">
        <v>2050775</v>
      </c>
      <c r="G15" s="105">
        <v>20.2</v>
      </c>
      <c r="H15" s="105">
        <v>22.59</v>
      </c>
      <c r="I15" s="105">
        <v>17.91</v>
      </c>
      <c r="J15" s="35"/>
    </row>
    <row r="16" spans="1:10">
      <c r="A16" s="35" t="s">
        <v>67</v>
      </c>
      <c r="B16" s="35">
        <v>2016</v>
      </c>
      <c r="C16" s="35" t="s">
        <v>224</v>
      </c>
      <c r="D16" s="110">
        <v>4423150</v>
      </c>
      <c r="E16" s="110">
        <v>2407318</v>
      </c>
      <c r="F16" s="110">
        <v>2015832</v>
      </c>
      <c r="G16" s="105">
        <v>19.57</v>
      </c>
      <c r="H16" s="105">
        <v>21.78</v>
      </c>
      <c r="I16" s="105">
        <v>17.45</v>
      </c>
      <c r="J16" s="35"/>
    </row>
    <row r="17" spans="1:10">
      <c r="A17" s="35" t="s">
        <v>67</v>
      </c>
      <c r="B17" s="35">
        <v>2017</v>
      </c>
      <c r="C17" s="35" t="s">
        <v>224</v>
      </c>
      <c r="D17" s="110">
        <v>4480870</v>
      </c>
      <c r="E17" s="110">
        <v>2439415</v>
      </c>
      <c r="F17" s="110">
        <v>2041455</v>
      </c>
      <c r="G17" s="105">
        <v>19.579999999999998</v>
      </c>
      <c r="H17" s="105">
        <v>21.8</v>
      </c>
      <c r="I17" s="105">
        <v>17.46</v>
      </c>
      <c r="J17" s="35"/>
    </row>
    <row r="18" spans="1:10">
      <c r="A18" s="35" t="s">
        <v>67</v>
      </c>
      <c r="B18" s="35">
        <v>2018</v>
      </c>
      <c r="C18" s="35" t="s">
        <v>224</v>
      </c>
      <c r="D18" s="110">
        <v>4340007</v>
      </c>
      <c r="E18" s="110">
        <v>2377930</v>
      </c>
      <c r="F18" s="110">
        <v>1962077</v>
      </c>
      <c r="G18" s="105">
        <v>18.61</v>
      </c>
      <c r="H18" s="105">
        <v>20.85</v>
      </c>
      <c r="I18" s="105">
        <v>16.47</v>
      </c>
      <c r="J18" s="35"/>
    </row>
    <row r="19" spans="1:10">
      <c r="A19" s="35" t="s">
        <v>67</v>
      </c>
      <c r="B19" s="35">
        <v>2019</v>
      </c>
      <c r="C19" s="35" t="s">
        <v>224</v>
      </c>
      <c r="D19" s="110">
        <v>4228874</v>
      </c>
      <c r="E19" s="110">
        <v>2319647</v>
      </c>
      <c r="F19" s="110">
        <v>1909227</v>
      </c>
      <c r="G19" s="105">
        <v>17.760000000000002</v>
      </c>
      <c r="H19" s="105">
        <v>19.920000000000002</v>
      </c>
      <c r="I19" s="105">
        <v>15.69</v>
      </c>
      <c r="J19" s="35"/>
    </row>
    <row r="20" spans="1:10">
      <c r="A20" s="35" t="s">
        <v>67</v>
      </c>
      <c r="B20" s="35">
        <v>2000</v>
      </c>
      <c r="C20" s="35" t="s">
        <v>235</v>
      </c>
      <c r="D20" s="110">
        <v>14752271</v>
      </c>
      <c r="E20" s="110">
        <v>8138304</v>
      </c>
      <c r="F20" s="110">
        <v>6613967</v>
      </c>
      <c r="G20" s="105">
        <v>37.89</v>
      </c>
      <c r="H20" s="105">
        <v>42.61</v>
      </c>
      <c r="I20" s="105">
        <v>33.340000000000003</v>
      </c>
      <c r="J20" s="35"/>
    </row>
    <row r="21" spans="1:10">
      <c r="A21" s="35" t="s">
        <v>67</v>
      </c>
      <c r="B21" s="35">
        <v>2005</v>
      </c>
      <c r="C21" s="35" t="s">
        <v>235</v>
      </c>
      <c r="D21" s="110">
        <v>13758608</v>
      </c>
      <c r="E21" s="110">
        <v>7541461</v>
      </c>
      <c r="F21" s="110">
        <v>6217147</v>
      </c>
      <c r="G21" s="105">
        <v>32.28</v>
      </c>
      <c r="H21" s="105">
        <v>36.119999999999997</v>
      </c>
      <c r="I21" s="105">
        <v>28.59</v>
      </c>
      <c r="J21" s="35"/>
    </row>
    <row r="22" spans="1:10">
      <c r="A22" s="35" t="s">
        <v>67</v>
      </c>
      <c r="B22" s="35">
        <v>2010</v>
      </c>
      <c r="C22" s="35" t="s">
        <v>235</v>
      </c>
      <c r="D22" s="110">
        <v>13493760</v>
      </c>
      <c r="E22" s="110">
        <v>7184140</v>
      </c>
      <c r="F22" s="110">
        <v>6309620</v>
      </c>
      <c r="G22" s="105">
        <v>30.07</v>
      </c>
      <c r="H22" s="105">
        <v>32.68</v>
      </c>
      <c r="I22" s="105">
        <v>27.56</v>
      </c>
      <c r="J22" s="35"/>
    </row>
    <row r="23" spans="1:10">
      <c r="A23" s="35" t="s">
        <v>67</v>
      </c>
      <c r="B23" s="35">
        <v>2015</v>
      </c>
      <c r="C23" s="35" t="s">
        <v>235</v>
      </c>
      <c r="D23" s="110">
        <v>13106841</v>
      </c>
      <c r="E23" s="110">
        <v>6962383</v>
      </c>
      <c r="F23" s="110">
        <v>6144458</v>
      </c>
      <c r="G23" s="105">
        <v>29.46</v>
      </c>
      <c r="H23" s="105">
        <v>31.98</v>
      </c>
      <c r="I23" s="105">
        <v>27.05</v>
      </c>
      <c r="J23" s="35"/>
    </row>
    <row r="24" spans="1:10">
      <c r="A24" s="35" t="s">
        <v>67</v>
      </c>
      <c r="B24" s="35">
        <v>2016</v>
      </c>
      <c r="C24" s="35" t="s">
        <v>235</v>
      </c>
      <c r="D24" s="110">
        <v>13038022</v>
      </c>
      <c r="E24" s="110">
        <v>6941978</v>
      </c>
      <c r="F24" s="110">
        <v>6096044</v>
      </c>
      <c r="G24" s="105">
        <v>29.16</v>
      </c>
      <c r="H24" s="105">
        <v>31.73</v>
      </c>
      <c r="I24" s="105">
        <v>26.69</v>
      </c>
      <c r="J24" s="35"/>
    </row>
    <row r="25" spans="1:10">
      <c r="A25" s="35" t="s">
        <v>67</v>
      </c>
      <c r="B25" s="35">
        <v>2017</v>
      </c>
      <c r="C25" s="35" t="s">
        <v>235</v>
      </c>
      <c r="D25" s="110">
        <v>12991780</v>
      </c>
      <c r="E25" s="110">
        <v>6938576</v>
      </c>
      <c r="F25" s="110">
        <v>6053204</v>
      </c>
      <c r="G25" s="105">
        <v>28.8</v>
      </c>
      <c r="H25" s="105">
        <v>31.45</v>
      </c>
      <c r="I25" s="105">
        <v>26.26</v>
      </c>
      <c r="J25" s="35"/>
    </row>
    <row r="26" spans="1:10">
      <c r="A26" s="35" t="s">
        <v>67</v>
      </c>
      <c r="B26" s="35">
        <v>2018</v>
      </c>
      <c r="C26" s="35" t="s">
        <v>235</v>
      </c>
      <c r="D26" s="110">
        <v>12839557</v>
      </c>
      <c r="E26" s="110">
        <v>6869141</v>
      </c>
      <c r="F26" s="110">
        <v>5970416</v>
      </c>
      <c r="G26" s="105">
        <v>28.07</v>
      </c>
      <c r="H26" s="105">
        <v>30.7</v>
      </c>
      <c r="I26" s="105">
        <v>25.54</v>
      </c>
      <c r="J26" s="35"/>
    </row>
    <row r="27" spans="1:10">
      <c r="A27" s="35" t="s">
        <v>67</v>
      </c>
      <c r="B27" s="35">
        <v>2019</v>
      </c>
      <c r="C27" s="35" t="s">
        <v>235</v>
      </c>
      <c r="D27" s="110">
        <v>12710599</v>
      </c>
      <c r="E27" s="110">
        <v>6797137</v>
      </c>
      <c r="F27" s="110">
        <v>5913462</v>
      </c>
      <c r="G27" s="105">
        <v>27.39</v>
      </c>
      <c r="H27" s="105">
        <v>29.95</v>
      </c>
      <c r="I27" s="105">
        <v>24.94</v>
      </c>
      <c r="J27" s="35"/>
    </row>
    <row r="28" spans="1:10">
      <c r="A28" s="35" t="s">
        <v>67</v>
      </c>
      <c r="B28" s="35">
        <v>2000</v>
      </c>
      <c r="C28" s="35" t="s">
        <v>236</v>
      </c>
      <c r="D28" s="110">
        <v>9235658</v>
      </c>
      <c r="E28" s="110">
        <v>4848355</v>
      </c>
      <c r="F28" s="110">
        <v>4387303</v>
      </c>
      <c r="G28" s="105">
        <v>48.38</v>
      </c>
      <c r="H28" s="105">
        <v>51.72</v>
      </c>
      <c r="I28" s="105">
        <v>45.16</v>
      </c>
      <c r="J28" s="35"/>
    </row>
    <row r="29" spans="1:10">
      <c r="A29" s="35" t="s">
        <v>67</v>
      </c>
      <c r="B29" s="35">
        <v>2005</v>
      </c>
      <c r="C29" s="35" t="s">
        <v>236</v>
      </c>
      <c r="D29" s="110">
        <v>8751084</v>
      </c>
      <c r="E29" s="110">
        <v>4623663</v>
      </c>
      <c r="F29" s="110">
        <v>4127421</v>
      </c>
      <c r="G29" s="105">
        <v>41.99</v>
      </c>
      <c r="H29" s="105">
        <v>45.22</v>
      </c>
      <c r="I29" s="105">
        <v>38.869999999999997</v>
      </c>
      <c r="J29" s="35"/>
    </row>
    <row r="30" spans="1:10">
      <c r="A30" s="35" t="s">
        <v>67</v>
      </c>
      <c r="B30" s="35">
        <v>2010</v>
      </c>
      <c r="C30" s="35" t="s">
        <v>236</v>
      </c>
      <c r="D30" s="110">
        <v>8794044</v>
      </c>
      <c r="E30" s="110">
        <v>4567922</v>
      </c>
      <c r="F30" s="110">
        <v>4226122</v>
      </c>
      <c r="G30" s="105">
        <v>40.380000000000003</v>
      </c>
      <c r="H30" s="105">
        <v>42.78</v>
      </c>
      <c r="I30" s="105">
        <v>38.07</v>
      </c>
      <c r="J30" s="35"/>
    </row>
    <row r="31" spans="1:10">
      <c r="A31" s="35" t="s">
        <v>67</v>
      </c>
      <c r="B31" s="35">
        <v>2015</v>
      </c>
      <c r="C31" s="35" t="s">
        <v>236</v>
      </c>
      <c r="D31" s="110">
        <v>8578352</v>
      </c>
      <c r="E31" s="110">
        <v>4484669</v>
      </c>
      <c r="F31" s="110">
        <v>4093683</v>
      </c>
      <c r="G31" s="105">
        <v>38.869999999999997</v>
      </c>
      <c r="H31" s="105">
        <v>41.51</v>
      </c>
      <c r="I31" s="105">
        <v>36.340000000000003</v>
      </c>
      <c r="J31" s="35"/>
    </row>
    <row r="32" spans="1:10">
      <c r="A32" s="35" t="s">
        <v>67</v>
      </c>
      <c r="B32" s="35">
        <v>2016</v>
      </c>
      <c r="C32" s="35" t="s">
        <v>236</v>
      </c>
      <c r="D32" s="110">
        <v>8614871</v>
      </c>
      <c r="E32" s="110">
        <v>4534659</v>
      </c>
      <c r="F32" s="110">
        <v>4080212</v>
      </c>
      <c r="G32" s="105">
        <v>38.97</v>
      </c>
      <c r="H32" s="105">
        <v>41.89</v>
      </c>
      <c r="I32" s="105">
        <v>36.17</v>
      </c>
      <c r="J32" s="35"/>
    </row>
    <row r="33" spans="1:10">
      <c r="A33" s="35" t="s">
        <v>67</v>
      </c>
      <c r="B33" s="35">
        <v>2017</v>
      </c>
      <c r="C33" s="35" t="s">
        <v>236</v>
      </c>
      <c r="D33" s="110">
        <v>8510909</v>
      </c>
      <c r="E33" s="110">
        <v>4499161</v>
      </c>
      <c r="F33" s="110">
        <v>4011748</v>
      </c>
      <c r="G33" s="105">
        <v>38.29</v>
      </c>
      <c r="H33" s="105">
        <v>41.38</v>
      </c>
      <c r="I33" s="105">
        <v>35.33</v>
      </c>
      <c r="J33" s="35"/>
    </row>
    <row r="34" spans="1:10">
      <c r="A34" s="35" t="s">
        <v>67</v>
      </c>
      <c r="B34" s="35">
        <v>2018</v>
      </c>
      <c r="C34" s="35" t="s">
        <v>236</v>
      </c>
      <c r="D34" s="110">
        <v>8499550</v>
      </c>
      <c r="E34" s="110">
        <v>4491211</v>
      </c>
      <c r="F34" s="110">
        <v>4008339</v>
      </c>
      <c r="G34" s="105">
        <v>37.9</v>
      </c>
      <c r="H34" s="105">
        <v>40.96</v>
      </c>
      <c r="I34" s="105">
        <v>34.97</v>
      </c>
      <c r="J34" s="35"/>
    </row>
    <row r="35" spans="1:10">
      <c r="A35" s="35" t="s">
        <v>67</v>
      </c>
      <c r="B35" s="35">
        <v>2019</v>
      </c>
      <c r="C35" s="35" t="s">
        <v>236</v>
      </c>
      <c r="D35" s="110">
        <v>8481725</v>
      </c>
      <c r="E35" s="110">
        <v>4477490</v>
      </c>
      <c r="F35" s="110">
        <v>4004235</v>
      </c>
      <c r="G35" s="105">
        <v>37.53</v>
      </c>
      <c r="H35" s="105">
        <v>40.51</v>
      </c>
      <c r="I35" s="105">
        <v>34.69</v>
      </c>
      <c r="J35" s="35"/>
    </row>
    <row r="36" spans="1:10">
      <c r="A36" s="35" t="s">
        <v>67</v>
      </c>
      <c r="B36" s="35">
        <v>2000</v>
      </c>
      <c r="C36" s="35" t="s">
        <v>237</v>
      </c>
      <c r="D36" s="110">
        <v>14436303</v>
      </c>
      <c r="E36" s="110">
        <v>8521062</v>
      </c>
      <c r="F36" s="110">
        <v>5915241</v>
      </c>
      <c r="G36" s="105">
        <v>23.82</v>
      </c>
      <c r="H36" s="105">
        <v>28.71</v>
      </c>
      <c r="I36" s="105">
        <v>19.12</v>
      </c>
      <c r="J36" s="35" t="s">
        <v>238</v>
      </c>
    </row>
    <row r="37" spans="1:10">
      <c r="A37" s="35" t="s">
        <v>67</v>
      </c>
      <c r="B37" s="35">
        <v>2005</v>
      </c>
      <c r="C37" s="35" t="s">
        <v>237</v>
      </c>
      <c r="D37" s="110">
        <v>12754110</v>
      </c>
      <c r="E37" s="110">
        <v>7348122</v>
      </c>
      <c r="F37" s="110">
        <v>5405988</v>
      </c>
      <c r="G37" s="105">
        <v>19.72</v>
      </c>
      <c r="H37" s="105">
        <v>23.22</v>
      </c>
      <c r="I37" s="105">
        <v>16.37</v>
      </c>
      <c r="J37" s="35" t="s">
        <v>238</v>
      </c>
    </row>
    <row r="38" spans="1:10">
      <c r="A38" s="35" t="s">
        <v>67</v>
      </c>
      <c r="B38" s="35">
        <v>2010</v>
      </c>
      <c r="C38" s="35" t="s">
        <v>237</v>
      </c>
      <c r="D38" s="110">
        <v>11089693</v>
      </c>
      <c r="E38" s="110">
        <v>6227708</v>
      </c>
      <c r="F38" s="110">
        <v>4861985</v>
      </c>
      <c r="G38" s="105">
        <v>16.63</v>
      </c>
      <c r="H38" s="105">
        <v>19.09</v>
      </c>
      <c r="I38" s="105">
        <v>14.28</v>
      </c>
      <c r="J38" s="35" t="s">
        <v>238</v>
      </c>
    </row>
    <row r="39" spans="1:10">
      <c r="A39" s="35" t="s">
        <v>67</v>
      </c>
      <c r="B39" s="35">
        <v>2015</v>
      </c>
      <c r="C39" s="35" t="s">
        <v>237</v>
      </c>
      <c r="D39" s="110">
        <v>12037919</v>
      </c>
      <c r="E39" s="110">
        <v>6443147</v>
      </c>
      <c r="F39" s="110">
        <v>5594772</v>
      </c>
      <c r="G39" s="105">
        <v>17.170000000000002</v>
      </c>
      <c r="H39" s="105">
        <v>18.79</v>
      </c>
      <c r="I39" s="105">
        <v>15.62</v>
      </c>
      <c r="J39" s="35" t="s">
        <v>238</v>
      </c>
    </row>
    <row r="40" spans="1:10">
      <c r="A40" s="35" t="s">
        <v>67</v>
      </c>
      <c r="B40" s="35">
        <v>2016</v>
      </c>
      <c r="C40" s="35" t="s">
        <v>237</v>
      </c>
      <c r="D40" s="110">
        <v>11990268</v>
      </c>
      <c r="E40" s="110">
        <v>6369043</v>
      </c>
      <c r="F40" s="110">
        <v>5621225</v>
      </c>
      <c r="G40" s="105">
        <v>16.829999999999998</v>
      </c>
      <c r="H40" s="105">
        <v>18.29</v>
      </c>
      <c r="I40" s="105">
        <v>15.43</v>
      </c>
      <c r="J40" s="35" t="s">
        <v>238</v>
      </c>
    </row>
    <row r="41" spans="1:10">
      <c r="A41" s="35" t="s">
        <v>67</v>
      </c>
      <c r="B41" s="35">
        <v>2017</v>
      </c>
      <c r="C41" s="35" t="s">
        <v>237</v>
      </c>
      <c r="D41" s="110">
        <v>11919576</v>
      </c>
      <c r="E41" s="110">
        <v>6441455</v>
      </c>
      <c r="F41" s="110">
        <v>5478121</v>
      </c>
      <c r="G41" s="105">
        <v>16.420000000000002</v>
      </c>
      <c r="H41" s="105">
        <v>18.149999999999999</v>
      </c>
      <c r="I41" s="105">
        <v>14.76</v>
      </c>
      <c r="J41" s="35" t="s">
        <v>238</v>
      </c>
    </row>
    <row r="42" spans="1:10">
      <c r="A42" s="35" t="s">
        <v>67</v>
      </c>
      <c r="B42" s="35">
        <v>2018</v>
      </c>
      <c r="C42" s="35" t="s">
        <v>237</v>
      </c>
      <c r="D42" s="110">
        <v>11826024</v>
      </c>
      <c r="E42" s="110">
        <v>6398630</v>
      </c>
      <c r="F42" s="110">
        <v>5427394</v>
      </c>
      <c r="G42" s="105">
        <v>15.95</v>
      </c>
      <c r="H42" s="105">
        <v>17.66</v>
      </c>
      <c r="I42" s="105">
        <v>14.32</v>
      </c>
      <c r="J42" s="35" t="s">
        <v>238</v>
      </c>
    </row>
    <row r="43" spans="1:10">
      <c r="A43" s="35" t="s">
        <v>67</v>
      </c>
      <c r="B43" s="35">
        <v>2019</v>
      </c>
      <c r="C43" s="35" t="s">
        <v>237</v>
      </c>
      <c r="D43" s="110">
        <v>11906274</v>
      </c>
      <c r="E43" s="110">
        <v>6412394</v>
      </c>
      <c r="F43" s="110">
        <v>5493880</v>
      </c>
      <c r="G43" s="105">
        <v>15.68</v>
      </c>
      <c r="H43" s="105">
        <v>17.28</v>
      </c>
      <c r="I43" s="105">
        <v>14.14</v>
      </c>
      <c r="J43" s="35" t="s">
        <v>238</v>
      </c>
    </row>
    <row r="44" spans="1:10">
      <c r="A44" s="35" t="s">
        <v>67</v>
      </c>
      <c r="B44" s="35">
        <v>2000</v>
      </c>
      <c r="C44" s="35" t="s">
        <v>239</v>
      </c>
      <c r="D44" s="110">
        <v>23671960</v>
      </c>
      <c r="E44" s="110">
        <v>13369416</v>
      </c>
      <c r="F44" s="110">
        <v>10302544</v>
      </c>
      <c r="G44" s="105">
        <v>29.7</v>
      </c>
      <c r="H44" s="105">
        <v>34.229999999999997</v>
      </c>
      <c r="I44" s="105">
        <v>25.35</v>
      </c>
      <c r="J44" s="35"/>
    </row>
    <row r="45" spans="1:10">
      <c r="A45" s="35" t="s">
        <v>67</v>
      </c>
      <c r="B45" s="35">
        <v>2005</v>
      </c>
      <c r="C45" s="35" t="s">
        <v>239</v>
      </c>
      <c r="D45" s="110">
        <v>21505194</v>
      </c>
      <c r="E45" s="110">
        <v>11971785</v>
      </c>
      <c r="F45" s="110">
        <v>9533409</v>
      </c>
      <c r="G45" s="105">
        <v>25.15</v>
      </c>
      <c r="H45" s="105">
        <v>28.59</v>
      </c>
      <c r="I45" s="105">
        <v>21.84</v>
      </c>
      <c r="J45" s="35"/>
    </row>
    <row r="46" spans="1:10">
      <c r="A46" s="35" t="s">
        <v>67</v>
      </c>
      <c r="B46" s="35">
        <v>2010</v>
      </c>
      <c r="C46" s="35" t="s">
        <v>239</v>
      </c>
      <c r="D46" s="110">
        <v>19883737</v>
      </c>
      <c r="E46" s="110">
        <v>10795630</v>
      </c>
      <c r="F46" s="110">
        <v>9088107</v>
      </c>
      <c r="G46" s="105">
        <v>22.48</v>
      </c>
      <c r="H46" s="105">
        <v>24.93</v>
      </c>
      <c r="I46" s="105">
        <v>20.13</v>
      </c>
      <c r="J46" s="35"/>
    </row>
    <row r="47" spans="1:10">
      <c r="A47" s="35" t="s">
        <v>67</v>
      </c>
      <c r="B47" s="35">
        <v>2015</v>
      </c>
      <c r="C47" s="35" t="s">
        <v>239</v>
      </c>
      <c r="D47" s="110">
        <v>20616270</v>
      </c>
      <c r="E47" s="110">
        <v>10927816</v>
      </c>
      <c r="F47" s="110">
        <v>9688454</v>
      </c>
      <c r="G47" s="105">
        <v>22.37</v>
      </c>
      <c r="H47" s="105">
        <v>24.24</v>
      </c>
      <c r="I47" s="105">
        <v>20.57</v>
      </c>
      <c r="J47" s="35"/>
    </row>
    <row r="48" spans="1:10">
      <c r="A48" s="35" t="s">
        <v>67</v>
      </c>
      <c r="B48" s="35">
        <v>2016</v>
      </c>
      <c r="C48" s="35" t="s">
        <v>239</v>
      </c>
      <c r="D48" s="110">
        <v>20605140</v>
      </c>
      <c r="E48" s="110">
        <v>10903703</v>
      </c>
      <c r="F48" s="110">
        <v>9701437</v>
      </c>
      <c r="G48" s="105">
        <v>22.07</v>
      </c>
      <c r="H48" s="105">
        <v>23.88</v>
      </c>
      <c r="I48" s="105">
        <v>20.34</v>
      </c>
      <c r="J48" s="35"/>
    </row>
    <row r="49" spans="1:10">
      <c r="A49" s="35" t="s">
        <v>67</v>
      </c>
      <c r="B49" s="35">
        <v>2017</v>
      </c>
      <c r="C49" s="35" t="s">
        <v>239</v>
      </c>
      <c r="D49" s="110">
        <v>20430486</v>
      </c>
      <c r="E49" s="110">
        <v>10940616</v>
      </c>
      <c r="F49" s="110">
        <v>9489870</v>
      </c>
      <c r="G49" s="105">
        <v>21.55</v>
      </c>
      <c r="H49" s="105">
        <v>23.6</v>
      </c>
      <c r="I49" s="105">
        <v>19.579999999999998</v>
      </c>
      <c r="J49" s="35"/>
    </row>
    <row r="50" spans="1:10">
      <c r="A50" s="35" t="s">
        <v>67</v>
      </c>
      <c r="B50" s="35">
        <v>2018</v>
      </c>
      <c r="C50" s="35" t="s">
        <v>239</v>
      </c>
      <c r="D50" s="110">
        <v>20325574</v>
      </c>
      <c r="E50" s="110">
        <v>10889841</v>
      </c>
      <c r="F50" s="110">
        <v>9435733</v>
      </c>
      <c r="G50" s="105">
        <v>21.05</v>
      </c>
      <c r="H50" s="105">
        <v>23.07</v>
      </c>
      <c r="I50" s="105">
        <v>19.12</v>
      </c>
      <c r="J50" s="35"/>
    </row>
    <row r="51" spans="1:10">
      <c r="A51" s="35" t="s">
        <v>67</v>
      </c>
      <c r="B51" s="35">
        <v>2019</v>
      </c>
      <c r="C51" s="35" t="s">
        <v>239</v>
      </c>
      <c r="D51" s="110">
        <v>20387999</v>
      </c>
      <c r="E51" s="110">
        <v>10889884</v>
      </c>
      <c r="F51" s="110">
        <v>9498115</v>
      </c>
      <c r="G51" s="105">
        <v>20.69</v>
      </c>
      <c r="H51" s="105">
        <v>22.61</v>
      </c>
      <c r="I51" s="105">
        <v>18.850000000000001</v>
      </c>
      <c r="J51" s="35"/>
    </row>
  </sheetData>
  <mergeCells count="3">
    <mergeCell ref="D1:I1"/>
    <mergeCell ref="D2:F2"/>
    <mergeCell ref="G2: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C349A-A4D5-4344-AE35-228E8775783C}">
  <sheetPr codeName="Sheet4">
    <tabColor theme="4" tint="0.39997558519241921"/>
  </sheetPr>
  <dimension ref="A1:O31"/>
  <sheetViews>
    <sheetView showGridLines="0" zoomScale="70" zoomScaleNormal="70" workbookViewId="0">
      <selection activeCell="G7" sqref="G7"/>
    </sheetView>
  </sheetViews>
  <sheetFormatPr defaultRowHeight="14.5"/>
  <cols>
    <col min="1" max="1" width="35.54296875" customWidth="1"/>
    <col min="2" max="2" width="11.453125" customWidth="1"/>
    <col min="3" max="3" width="13.54296875" customWidth="1"/>
    <col min="4" max="5" width="13.1796875" customWidth="1"/>
    <col min="6" max="6" width="13.453125" customWidth="1"/>
    <col min="7" max="7" width="11.453125" customWidth="1"/>
    <col min="8" max="9" width="25.81640625" customWidth="1"/>
    <col min="10" max="10" width="5.453125" customWidth="1"/>
    <col min="12" max="12" width="5.453125" customWidth="1"/>
    <col min="13" max="13" width="16.81640625" bestFit="1" customWidth="1"/>
    <col min="14" max="14" width="5.1796875" customWidth="1"/>
  </cols>
  <sheetData>
    <row r="1" spans="1:11" ht="32.15" customHeight="1">
      <c r="A1" s="439" t="s">
        <v>462</v>
      </c>
      <c r="B1" s="441" t="s">
        <v>57</v>
      </c>
      <c r="C1" s="441"/>
      <c r="D1" s="441" t="s">
        <v>58</v>
      </c>
      <c r="E1" s="441"/>
      <c r="F1" s="441" t="s">
        <v>59</v>
      </c>
      <c r="G1" s="441"/>
      <c r="H1" s="443" t="s">
        <v>60</v>
      </c>
      <c r="I1" s="443" t="s">
        <v>61</v>
      </c>
    </row>
    <row r="2" spans="1:11">
      <c r="A2" s="440"/>
      <c r="B2" s="17" t="s">
        <v>2</v>
      </c>
      <c r="C2" s="17" t="s">
        <v>3</v>
      </c>
      <c r="D2" s="17" t="s">
        <v>2</v>
      </c>
      <c r="E2" s="17" t="s">
        <v>3</v>
      </c>
      <c r="F2" s="17" t="s">
        <v>2</v>
      </c>
      <c r="G2" s="17" t="s">
        <v>3</v>
      </c>
      <c r="H2" s="444"/>
      <c r="I2" s="444"/>
    </row>
    <row r="3" spans="1:11">
      <c r="A3" s="13" t="s">
        <v>62</v>
      </c>
      <c r="B3" s="18">
        <v>65.683090209960895</v>
      </c>
      <c r="C3" s="18">
        <v>47.495029449462898</v>
      </c>
      <c r="D3" s="19">
        <v>51.07525213496298</v>
      </c>
      <c r="E3" s="19">
        <v>74.659382155348709</v>
      </c>
      <c r="F3" s="18">
        <v>7.5156705319858297</v>
      </c>
      <c r="G3" s="18">
        <v>5.2880506642995</v>
      </c>
      <c r="H3" s="18">
        <v>20.250000000000004</v>
      </c>
      <c r="I3" s="18">
        <v>47.368749999999999</v>
      </c>
    </row>
    <row r="4" spans="1:11">
      <c r="A4" s="13" t="s">
        <v>63</v>
      </c>
      <c r="B4" s="18">
        <v>85.799797058105497</v>
      </c>
      <c r="C4" s="18">
        <v>72.193260192871094</v>
      </c>
      <c r="D4" s="19">
        <v>51.555087047681042</v>
      </c>
      <c r="E4" s="19">
        <v>66.41962505732819</v>
      </c>
      <c r="F4" s="18">
        <v>5.840126638404679</v>
      </c>
      <c r="G4" s="18">
        <v>5.4015998059486527</v>
      </c>
      <c r="H4" s="18">
        <v>17.28409090909091</v>
      </c>
      <c r="I4" s="18">
        <v>34.088636363636368</v>
      </c>
    </row>
    <row r="5" spans="1:11">
      <c r="A5" s="13" t="s">
        <v>64</v>
      </c>
      <c r="B5" s="18">
        <v>63.873199462890597</v>
      </c>
      <c r="C5" s="18">
        <v>55.417671203613303</v>
      </c>
      <c r="D5" s="19">
        <v>58.551032071478993</v>
      </c>
      <c r="E5" s="19">
        <v>73.596044974859467</v>
      </c>
      <c r="F5" s="18">
        <v>3.484029264440677</v>
      </c>
      <c r="G5" s="18">
        <v>4.2047695594741272</v>
      </c>
      <c r="H5" s="18">
        <v>34.788235294117641</v>
      </c>
      <c r="I5" s="18">
        <v>44.176470588235297</v>
      </c>
    </row>
    <row r="6" spans="1:11">
      <c r="A6" s="13" t="s">
        <v>65</v>
      </c>
      <c r="B6" s="18">
        <v>8.2863197326660192</v>
      </c>
      <c r="C6" s="18">
        <v>10.4996995925903</v>
      </c>
      <c r="D6" s="19">
        <v>60.675455574228742</v>
      </c>
      <c r="E6" s="19">
        <v>72.844168873613725</v>
      </c>
      <c r="F6" s="18">
        <v>6.8052467186454733</v>
      </c>
      <c r="G6" s="18">
        <v>5.2520682396983309</v>
      </c>
      <c r="H6" s="18">
        <v>17.102857142857143</v>
      </c>
      <c r="I6" s="18">
        <v>29.86571428571429</v>
      </c>
    </row>
    <row r="7" spans="1:11">
      <c r="A7" s="13" t="s">
        <v>66</v>
      </c>
      <c r="B7" s="18">
        <v>27.410810470581101</v>
      </c>
      <c r="C7" s="18">
        <v>27.186729431152301</v>
      </c>
      <c r="D7" s="19">
        <v>31.636946537146624</v>
      </c>
      <c r="E7" s="19">
        <v>77.01658503647856</v>
      </c>
      <c r="F7" s="18">
        <v>5.0085065361368208</v>
      </c>
      <c r="G7" s="18">
        <v>4.4571908286704476</v>
      </c>
      <c r="H7" s="18">
        <v>9.1833333333333336</v>
      </c>
      <c r="I7" s="18">
        <v>12.616666666666667</v>
      </c>
    </row>
    <row r="8" spans="1:11">
      <c r="A8" s="13" t="s">
        <v>67</v>
      </c>
      <c r="B8" s="18">
        <v>35.01</v>
      </c>
      <c r="C8" s="18">
        <v>32.090000000000003</v>
      </c>
      <c r="D8" s="19">
        <v>20.02</v>
      </c>
      <c r="E8" s="19">
        <v>70.33</v>
      </c>
      <c r="F8" s="18">
        <v>19.5</v>
      </c>
      <c r="G8" s="18">
        <v>8.6</v>
      </c>
      <c r="H8" s="18">
        <v>3.6</v>
      </c>
      <c r="I8" s="18">
        <v>13.56</v>
      </c>
    </row>
    <row r="10" spans="1:11">
      <c r="A10" s="442" t="s">
        <v>68</v>
      </c>
      <c r="B10" s="442"/>
      <c r="C10" s="442"/>
      <c r="D10" s="442"/>
      <c r="E10" s="442"/>
      <c r="F10" s="442"/>
      <c r="G10" s="442"/>
      <c r="H10" s="442"/>
      <c r="I10" s="442"/>
    </row>
    <row r="11" spans="1:11" ht="14.5" customHeight="1">
      <c r="A11" s="438" t="s">
        <v>69</v>
      </c>
      <c r="B11" s="438"/>
      <c r="C11" s="438"/>
      <c r="D11" s="438"/>
      <c r="E11" s="438"/>
      <c r="F11" s="438"/>
      <c r="G11" s="438"/>
      <c r="H11" s="438"/>
      <c r="I11" s="438"/>
      <c r="J11" s="20"/>
      <c r="K11" s="21"/>
    </row>
    <row r="12" spans="1:11">
      <c r="A12" s="438"/>
      <c r="B12" s="438"/>
      <c r="C12" s="438"/>
      <c r="D12" s="438"/>
      <c r="E12" s="438"/>
      <c r="F12" s="438"/>
      <c r="G12" s="438"/>
      <c r="H12" s="438"/>
      <c r="I12" s="438"/>
      <c r="J12" s="20"/>
      <c r="K12" s="21"/>
    </row>
    <row r="13" spans="1:11">
      <c r="A13" s="20"/>
      <c r="B13" s="20"/>
      <c r="C13" s="20"/>
      <c r="D13" s="20"/>
      <c r="E13" s="20"/>
      <c r="F13" s="20"/>
      <c r="G13" s="20"/>
      <c r="H13" s="20"/>
      <c r="I13" s="20"/>
      <c r="J13" s="20"/>
    </row>
    <row r="30" spans="10:15" ht="31.5">
      <c r="J30" s="338"/>
      <c r="K30" s="339" t="s">
        <v>62</v>
      </c>
      <c r="L30" s="340"/>
      <c r="M30" s="339" t="s">
        <v>63</v>
      </c>
      <c r="N30" s="341"/>
      <c r="O30" s="339" t="s">
        <v>64</v>
      </c>
    </row>
    <row r="31" spans="10:15" ht="21">
      <c r="J31" s="342"/>
      <c r="K31" s="339" t="s">
        <v>65</v>
      </c>
      <c r="L31" s="343"/>
      <c r="M31" s="339" t="s">
        <v>66</v>
      </c>
      <c r="N31" s="344"/>
      <c r="O31" s="339" t="s">
        <v>67</v>
      </c>
    </row>
  </sheetData>
  <mergeCells count="8">
    <mergeCell ref="A11:I12"/>
    <mergeCell ref="A1:A2"/>
    <mergeCell ref="B1:C1"/>
    <mergeCell ref="D1:E1"/>
    <mergeCell ref="F1:G1"/>
    <mergeCell ref="A10:I10"/>
    <mergeCell ref="H1:H2"/>
    <mergeCell ref="I1:I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DD135-C0F7-459C-9976-2CF4D6E02F81}">
  <sheetPr codeName="Sheet27">
    <tabColor theme="4" tint="0.39997558519241921"/>
  </sheetPr>
  <dimension ref="A1:J497"/>
  <sheetViews>
    <sheetView showGridLines="0" zoomScale="70" zoomScaleNormal="70" workbookViewId="0">
      <pane xSplit="1" ySplit="2" topLeftCell="B3" activePane="bottomRight" state="frozen"/>
      <selection pane="topRight" activeCell="C1" sqref="C1:F1"/>
      <selection pane="bottomLeft" activeCell="C1" sqref="C1:F1"/>
      <selection pane="bottomRight" activeCell="F31" sqref="F31"/>
    </sheetView>
  </sheetViews>
  <sheetFormatPr defaultRowHeight="14.5"/>
  <cols>
    <col min="1" max="1" width="12.453125" style="53" bestFit="1" customWidth="1"/>
    <col min="2" max="2" width="11" style="53" bestFit="1" customWidth="1"/>
    <col min="3" max="3" width="12.453125" bestFit="1" customWidth="1"/>
    <col min="4" max="5" width="11.453125" bestFit="1" customWidth="1"/>
    <col min="6" max="8" width="12.81640625" customWidth="1"/>
  </cols>
  <sheetData>
    <row r="1" spans="1:10">
      <c r="C1" s="111"/>
      <c r="D1" s="111"/>
      <c r="E1" s="111"/>
      <c r="F1" s="111" t="s">
        <v>233</v>
      </c>
      <c r="G1" s="111"/>
      <c r="H1" s="111"/>
      <c r="J1" t="s">
        <v>240</v>
      </c>
    </row>
    <row r="2" spans="1:10">
      <c r="A2" s="35" t="s">
        <v>113</v>
      </c>
      <c r="B2" s="44" t="s">
        <v>104</v>
      </c>
      <c r="C2" s="109" t="s">
        <v>241</v>
      </c>
      <c r="D2" s="109" t="s">
        <v>242</v>
      </c>
      <c r="E2" s="109" t="s">
        <v>243</v>
      </c>
      <c r="F2" s="109" t="s">
        <v>114</v>
      </c>
      <c r="G2" s="109" t="s">
        <v>115</v>
      </c>
      <c r="H2" s="109" t="s">
        <v>116</v>
      </c>
    </row>
    <row r="3" spans="1:10">
      <c r="A3" s="66" t="s">
        <v>67</v>
      </c>
      <c r="B3" s="71">
        <v>2004</v>
      </c>
      <c r="C3" s="66" t="s">
        <v>225</v>
      </c>
      <c r="D3" s="88" t="s">
        <v>244</v>
      </c>
      <c r="E3" s="88" t="s">
        <v>245</v>
      </c>
      <c r="F3" s="14">
        <v>18.58463714285714</v>
      </c>
      <c r="G3" s="14">
        <v>21.268009285714292</v>
      </c>
      <c r="H3" s="14">
        <v>16.013027857142859</v>
      </c>
    </row>
    <row r="4" spans="1:10">
      <c r="A4" s="66" t="s">
        <v>67</v>
      </c>
      <c r="B4" s="71">
        <v>2005</v>
      </c>
      <c r="C4" s="66" t="s">
        <v>225</v>
      </c>
      <c r="D4" s="88" t="s">
        <v>244</v>
      </c>
      <c r="E4" s="88" t="s">
        <v>245</v>
      </c>
      <c r="F4" s="14">
        <v>18.58463714285714</v>
      </c>
      <c r="G4" s="14">
        <v>21.268009285714292</v>
      </c>
      <c r="H4" s="14">
        <v>16.013027857142859</v>
      </c>
    </row>
    <row r="5" spans="1:10">
      <c r="A5" s="66" t="s">
        <v>67</v>
      </c>
      <c r="B5" s="71">
        <v>2006</v>
      </c>
      <c r="C5" s="66" t="s">
        <v>225</v>
      </c>
      <c r="D5" s="88" t="s">
        <v>244</v>
      </c>
      <c r="E5" s="88" t="s">
        <v>245</v>
      </c>
      <c r="F5" s="14">
        <v>18.563629285714285</v>
      </c>
      <c r="G5" s="14">
        <v>21.203244285714288</v>
      </c>
      <c r="H5" s="14">
        <v>16.032062857142858</v>
      </c>
    </row>
    <row r="6" spans="1:10">
      <c r="A6" s="66" t="s">
        <v>67</v>
      </c>
      <c r="B6" s="71">
        <v>2007</v>
      </c>
      <c r="C6" s="66" t="s">
        <v>225</v>
      </c>
      <c r="D6" s="88" t="s">
        <v>244</v>
      </c>
      <c r="E6" s="88" t="s">
        <v>245</v>
      </c>
      <c r="F6" s="14">
        <v>18.424225714285701</v>
      </c>
      <c r="G6" s="14">
        <v>20.987723775510212</v>
      </c>
      <c r="H6" s="14">
        <v>15.966261938775522</v>
      </c>
    </row>
    <row r="7" spans="1:10">
      <c r="A7" s="66" t="s">
        <v>67</v>
      </c>
      <c r="B7" s="71">
        <v>2009</v>
      </c>
      <c r="C7" s="66" t="s">
        <v>225</v>
      </c>
      <c r="D7" s="88" t="s">
        <v>244</v>
      </c>
      <c r="E7" s="88" t="s">
        <v>245</v>
      </c>
      <c r="F7" s="14">
        <v>18.101055129870137</v>
      </c>
      <c r="G7" s="14">
        <v>20.435108988868251</v>
      </c>
      <c r="H7" s="14">
        <v>15.86932221243042</v>
      </c>
    </row>
    <row r="8" spans="1:10">
      <c r="A8" s="66" t="s">
        <v>67</v>
      </c>
      <c r="B8" s="71">
        <v>2011</v>
      </c>
      <c r="C8" s="66" t="s">
        <v>225</v>
      </c>
      <c r="D8" s="88" t="s">
        <v>244</v>
      </c>
      <c r="E8" s="88" t="s">
        <v>245</v>
      </c>
      <c r="F8" s="14">
        <v>17.669276831168844</v>
      </c>
      <c r="G8" s="14">
        <v>19.807697345083479</v>
      </c>
      <c r="H8" s="14">
        <v>15.636484771799633</v>
      </c>
    </row>
    <row r="9" spans="1:10">
      <c r="A9" s="66" t="s">
        <v>67</v>
      </c>
      <c r="B9" s="71">
        <v>2012</v>
      </c>
      <c r="C9" s="66" t="s">
        <v>225</v>
      </c>
      <c r="D9" s="88" t="s">
        <v>244</v>
      </c>
      <c r="E9" s="88" t="s">
        <v>245</v>
      </c>
      <c r="F9" s="14">
        <v>17.472532528756979</v>
      </c>
      <c r="G9" s="14">
        <v>19.495285987476809</v>
      </c>
      <c r="H9" s="14">
        <v>15.551199418831166</v>
      </c>
    </row>
    <row r="10" spans="1:10">
      <c r="A10" s="66" t="s">
        <v>67</v>
      </c>
      <c r="B10" s="71">
        <v>2013</v>
      </c>
      <c r="C10" s="66" t="s">
        <v>225</v>
      </c>
      <c r="D10" s="88" t="s">
        <v>244</v>
      </c>
      <c r="E10" s="88" t="s">
        <v>245</v>
      </c>
      <c r="F10" s="14">
        <v>17.278094893011758</v>
      </c>
      <c r="G10" s="14">
        <v>19.166954272727271</v>
      </c>
      <c r="H10" s="14">
        <v>15.484944542053201</v>
      </c>
    </row>
    <row r="11" spans="1:10">
      <c r="A11" s="66" t="s">
        <v>67</v>
      </c>
      <c r="B11" s="71">
        <v>2014</v>
      </c>
      <c r="C11" s="66" t="s">
        <v>225</v>
      </c>
      <c r="D11" s="88" t="s">
        <v>244</v>
      </c>
      <c r="E11" s="88" t="s">
        <v>245</v>
      </c>
      <c r="F11" s="14">
        <v>17.202052971552238</v>
      </c>
      <c r="G11" s="14">
        <v>18.989378068181811</v>
      </c>
      <c r="H11" s="14">
        <v>15.503525583642556</v>
      </c>
    </row>
    <row r="12" spans="1:10">
      <c r="A12" s="66" t="s">
        <v>67</v>
      </c>
      <c r="B12" s="71">
        <v>2015</v>
      </c>
      <c r="C12" s="66" t="s">
        <v>225</v>
      </c>
      <c r="D12" s="88" t="s">
        <v>244</v>
      </c>
      <c r="E12" s="88" t="s">
        <v>245</v>
      </c>
      <c r="F12" s="14">
        <v>17.201322764378482</v>
      </c>
      <c r="G12" s="14">
        <v>18.913965292207774</v>
      </c>
      <c r="H12" s="14">
        <v>15.571020482374776</v>
      </c>
    </row>
    <row r="13" spans="1:10">
      <c r="A13" s="66" t="s">
        <v>67</v>
      </c>
      <c r="B13" s="71">
        <v>2018</v>
      </c>
      <c r="C13" s="66" t="s">
        <v>225</v>
      </c>
      <c r="D13" s="88" t="s">
        <v>244</v>
      </c>
      <c r="E13" s="88" t="s">
        <v>245</v>
      </c>
      <c r="F13" s="14">
        <v>17.060840714285714</v>
      </c>
      <c r="G13" s="14">
        <v>18.532902857142858</v>
      </c>
      <c r="H13" s="14">
        <v>15.657859999999999</v>
      </c>
    </row>
    <row r="14" spans="1:10">
      <c r="A14" s="66" t="s">
        <v>67</v>
      </c>
      <c r="B14" s="71">
        <v>2004</v>
      </c>
      <c r="C14" s="66" t="s">
        <v>225</v>
      </c>
      <c r="D14" s="88" t="s">
        <v>244</v>
      </c>
      <c r="E14" s="88" t="s">
        <v>246</v>
      </c>
      <c r="F14" s="14">
        <v>12.437106428571427</v>
      </c>
      <c r="G14" s="14">
        <v>13.460865714285715</v>
      </c>
      <c r="H14" s="14">
        <v>11.438517857142855</v>
      </c>
    </row>
    <row r="15" spans="1:10">
      <c r="A15" s="66" t="s">
        <v>67</v>
      </c>
      <c r="B15" s="71">
        <v>2005</v>
      </c>
      <c r="C15" s="66" t="s">
        <v>225</v>
      </c>
      <c r="D15" s="88" t="s">
        <v>244</v>
      </c>
      <c r="E15" s="88" t="s">
        <v>246</v>
      </c>
      <c r="F15" s="14">
        <v>12.437106428571427</v>
      </c>
      <c r="G15" s="14">
        <v>13.460865714285713</v>
      </c>
      <c r="H15" s="14">
        <v>11.438517857142855</v>
      </c>
    </row>
    <row r="16" spans="1:10">
      <c r="A16" s="66" t="s">
        <v>67</v>
      </c>
      <c r="B16" s="71">
        <v>2006</v>
      </c>
      <c r="C16" s="66" t="s">
        <v>225</v>
      </c>
      <c r="D16" s="88" t="s">
        <v>244</v>
      </c>
      <c r="E16" s="88" t="s">
        <v>246</v>
      </c>
      <c r="F16" s="14">
        <v>12.428285000000001</v>
      </c>
      <c r="G16" s="14">
        <v>13.442198928571431</v>
      </c>
      <c r="H16" s="14">
        <v>11.438536607142856</v>
      </c>
    </row>
    <row r="17" spans="1:8">
      <c r="A17" s="66" t="s">
        <v>67</v>
      </c>
      <c r="B17" s="71">
        <v>2007</v>
      </c>
      <c r="C17" s="66" t="s">
        <v>225</v>
      </c>
      <c r="D17" s="88" t="s">
        <v>244</v>
      </c>
      <c r="E17" s="88" t="s">
        <v>246</v>
      </c>
      <c r="F17" s="14">
        <v>12.335110306122425</v>
      </c>
      <c r="G17" s="14">
        <v>13.310491428571428</v>
      </c>
      <c r="H17" s="14">
        <v>11.382306275510201</v>
      </c>
    </row>
    <row r="18" spans="1:8">
      <c r="A18" s="66" t="s">
        <v>67</v>
      </c>
      <c r="B18" s="71">
        <v>2009</v>
      </c>
      <c r="C18" s="66" t="s">
        <v>225</v>
      </c>
      <c r="D18" s="88" t="s">
        <v>244</v>
      </c>
      <c r="E18" s="88" t="s">
        <v>246</v>
      </c>
      <c r="F18" s="14">
        <v>12.036299230055603</v>
      </c>
      <c r="G18" s="14">
        <v>12.939162954545452</v>
      </c>
      <c r="H18" s="14">
        <v>11.154361456400704</v>
      </c>
    </row>
    <row r="19" spans="1:8">
      <c r="A19" s="66" t="s">
        <v>67</v>
      </c>
      <c r="B19" s="71">
        <v>2011</v>
      </c>
      <c r="C19" s="66" t="s">
        <v>225</v>
      </c>
      <c r="D19" s="88" t="s">
        <v>244</v>
      </c>
      <c r="E19" s="88" t="s">
        <v>246</v>
      </c>
      <c r="F19" s="14">
        <v>11.743337582560272</v>
      </c>
      <c r="G19" s="14">
        <v>12.598988337662329</v>
      </c>
      <c r="H19" s="14">
        <v>10.908859423005552</v>
      </c>
    </row>
    <row r="20" spans="1:8">
      <c r="A20" s="66" t="s">
        <v>67</v>
      </c>
      <c r="B20" s="71">
        <v>2012</v>
      </c>
      <c r="C20" s="66" t="s">
        <v>225</v>
      </c>
      <c r="D20" s="88" t="s">
        <v>244</v>
      </c>
      <c r="E20" s="88" t="s">
        <v>246</v>
      </c>
      <c r="F20" s="14">
        <v>11.752120049628923</v>
      </c>
      <c r="G20" s="14">
        <v>12.542280774118723</v>
      </c>
      <c r="H20" s="14">
        <v>10.984281416512047</v>
      </c>
    </row>
    <row r="21" spans="1:8">
      <c r="A21" s="66" t="s">
        <v>67</v>
      </c>
      <c r="B21" s="71">
        <v>2013</v>
      </c>
      <c r="C21" s="66" t="s">
        <v>225</v>
      </c>
      <c r="D21" s="88" t="s">
        <v>244</v>
      </c>
      <c r="E21" s="88" t="s">
        <v>246</v>
      </c>
      <c r="F21" s="14">
        <v>11.772879659554718</v>
      </c>
      <c r="G21" s="14">
        <v>12.490820472479916</v>
      </c>
      <c r="H21" s="14">
        <v>11.077684481447118</v>
      </c>
    </row>
    <row r="22" spans="1:8">
      <c r="A22" s="66" t="s">
        <v>67</v>
      </c>
      <c r="B22" s="71">
        <v>2014</v>
      </c>
      <c r="C22" s="66" t="s">
        <v>225</v>
      </c>
      <c r="D22" s="88" t="s">
        <v>244</v>
      </c>
      <c r="E22" s="88" t="s">
        <v>246</v>
      </c>
      <c r="F22" s="14">
        <v>11.877992534786655</v>
      </c>
      <c r="G22" s="14">
        <v>12.552400885126778</v>
      </c>
      <c r="H22" s="14">
        <v>11.227336628014822</v>
      </c>
    </row>
    <row r="23" spans="1:8">
      <c r="A23" s="66" t="s">
        <v>67</v>
      </c>
      <c r="B23" s="71">
        <v>2015</v>
      </c>
      <c r="C23" s="66" t="s">
        <v>225</v>
      </c>
      <c r="D23" s="88" t="s">
        <v>244</v>
      </c>
      <c r="E23" s="88" t="s">
        <v>246</v>
      </c>
      <c r="F23" s="14">
        <v>11.989002124304273</v>
      </c>
      <c r="G23" s="14">
        <v>12.617071154916514</v>
      </c>
      <c r="H23" s="14">
        <v>11.385748631725416</v>
      </c>
    </row>
    <row r="24" spans="1:8">
      <c r="A24" s="66" t="s">
        <v>67</v>
      </c>
      <c r="B24" s="71">
        <v>2018</v>
      </c>
      <c r="C24" s="66" t="s">
        <v>225</v>
      </c>
      <c r="D24" s="88" t="s">
        <v>244</v>
      </c>
      <c r="E24" s="88" t="s">
        <v>246</v>
      </c>
      <c r="F24" s="14">
        <v>11.970821428571428</v>
      </c>
      <c r="G24" s="14">
        <v>12.549676428571429</v>
      </c>
      <c r="H24" s="14">
        <v>11.416064285714285</v>
      </c>
    </row>
    <row r="25" spans="1:8">
      <c r="A25" s="66" t="s">
        <v>67</v>
      </c>
      <c r="B25" s="71">
        <v>2004</v>
      </c>
      <c r="C25" s="66" t="s">
        <v>225</v>
      </c>
      <c r="D25" s="88" t="s">
        <v>244</v>
      </c>
      <c r="E25" s="88" t="s">
        <v>247</v>
      </c>
      <c r="F25" s="14">
        <v>8.0488050000000015</v>
      </c>
      <c r="G25" s="14">
        <v>8.3920692857142871</v>
      </c>
      <c r="H25" s="14">
        <v>7.6942271428571427</v>
      </c>
    </row>
    <row r="26" spans="1:8">
      <c r="A26" s="66" t="s">
        <v>67</v>
      </c>
      <c r="B26" s="71">
        <v>2005</v>
      </c>
      <c r="C26" s="66" t="s">
        <v>225</v>
      </c>
      <c r="D26" s="88" t="s">
        <v>244</v>
      </c>
      <c r="E26" s="88" t="s">
        <v>247</v>
      </c>
      <c r="F26" s="14">
        <v>8.0488050000000015</v>
      </c>
      <c r="G26" s="14">
        <v>8.3920692857142871</v>
      </c>
      <c r="H26" s="14">
        <v>7.6942271428571427</v>
      </c>
    </row>
    <row r="27" spans="1:8">
      <c r="A27" s="66" t="s">
        <v>67</v>
      </c>
      <c r="B27" s="71">
        <v>2006</v>
      </c>
      <c r="C27" s="66" t="s">
        <v>225</v>
      </c>
      <c r="D27" s="88" t="s">
        <v>244</v>
      </c>
      <c r="E27" s="88" t="s">
        <v>247</v>
      </c>
      <c r="F27" s="14">
        <v>8.0601401785714319</v>
      </c>
      <c r="G27" s="14">
        <v>8.391970535714286</v>
      </c>
      <c r="H27" s="14">
        <v>7.7164732142857151</v>
      </c>
    </row>
    <row r="28" spans="1:8">
      <c r="A28" s="66" t="s">
        <v>67</v>
      </c>
      <c r="B28" s="71">
        <v>2007</v>
      </c>
      <c r="C28" s="66" t="s">
        <v>225</v>
      </c>
      <c r="D28" s="88" t="s">
        <v>244</v>
      </c>
      <c r="E28" s="88" t="s">
        <v>247</v>
      </c>
      <c r="F28" s="14">
        <v>7.9910601530612153</v>
      </c>
      <c r="G28" s="14">
        <v>8.3054182142857425</v>
      </c>
      <c r="H28" s="14">
        <v>7.671293877551018</v>
      </c>
    </row>
    <row r="29" spans="1:8">
      <c r="A29" s="66" t="s">
        <v>67</v>
      </c>
      <c r="B29" s="71">
        <v>2009</v>
      </c>
      <c r="C29" s="66" t="s">
        <v>225</v>
      </c>
      <c r="D29" s="88" t="s">
        <v>244</v>
      </c>
      <c r="E29" s="88" t="s">
        <v>247</v>
      </c>
      <c r="F29" s="14">
        <v>7.6869994526901682</v>
      </c>
      <c r="G29" s="14">
        <v>8.0030182467532676</v>
      </c>
      <c r="H29" s="14">
        <v>7.3844350417439397</v>
      </c>
    </row>
    <row r="30" spans="1:8">
      <c r="A30" s="66" t="s">
        <v>67</v>
      </c>
      <c r="B30" s="71">
        <v>2011</v>
      </c>
      <c r="C30" s="66" t="s">
        <v>225</v>
      </c>
      <c r="D30" s="88" t="s">
        <v>244</v>
      </c>
      <c r="E30" s="88" t="s">
        <v>247</v>
      </c>
      <c r="F30" s="14">
        <v>7.3400863951762556</v>
      </c>
      <c r="G30" s="14">
        <v>7.6868343506493586</v>
      </c>
      <c r="H30" s="14">
        <v>7.0270694916512015</v>
      </c>
    </row>
    <row r="31" spans="1:8">
      <c r="A31" s="66" t="s">
        <v>67</v>
      </c>
      <c r="B31" s="71">
        <v>2012</v>
      </c>
      <c r="C31" s="66" t="s">
        <v>225</v>
      </c>
      <c r="D31" s="88" t="s">
        <v>244</v>
      </c>
      <c r="E31" s="88" t="s">
        <v>247</v>
      </c>
      <c r="F31" s="14">
        <v>7.3575834888682481</v>
      </c>
      <c r="G31" s="14">
        <v>7.6964005403525464</v>
      </c>
      <c r="H31" s="14">
        <v>7.0555166910945983</v>
      </c>
    </row>
    <row r="32" spans="1:8">
      <c r="A32" s="66" t="s">
        <v>67</v>
      </c>
      <c r="B32" s="71">
        <v>2013</v>
      </c>
      <c r="C32" s="66" t="s">
        <v>225</v>
      </c>
      <c r="D32" s="88" t="s">
        <v>244</v>
      </c>
      <c r="E32" s="88" t="s">
        <v>247</v>
      </c>
      <c r="F32" s="14">
        <v>7.3927030825602973</v>
      </c>
      <c r="G32" s="14">
        <v>7.7236210157699405</v>
      </c>
      <c r="H32" s="14">
        <v>7.1013349619665886</v>
      </c>
    </row>
    <row r="33" spans="1:8">
      <c r="A33" s="66" t="s">
        <v>67</v>
      </c>
      <c r="B33" s="71">
        <v>2014</v>
      </c>
      <c r="C33" s="66" t="s">
        <v>225</v>
      </c>
      <c r="D33" s="88" t="s">
        <v>244</v>
      </c>
      <c r="E33" s="88" t="s">
        <v>247</v>
      </c>
      <c r="F33" s="14">
        <v>7.5082378803339322</v>
      </c>
      <c r="G33" s="14">
        <v>7.8372950626159632</v>
      </c>
      <c r="H33" s="14">
        <v>7.2145786410018387</v>
      </c>
    </row>
    <row r="34" spans="1:8">
      <c r="A34" s="66" t="s">
        <v>67</v>
      </c>
      <c r="B34" s="71">
        <v>2015</v>
      </c>
      <c r="C34" s="66" t="s">
        <v>225</v>
      </c>
      <c r="D34" s="88" t="s">
        <v>244</v>
      </c>
      <c r="E34" s="88" t="s">
        <v>247</v>
      </c>
      <c r="F34" s="14">
        <v>7.6338636781076081</v>
      </c>
      <c r="G34" s="14">
        <v>7.9579598237476805</v>
      </c>
      <c r="H34" s="14">
        <v>7.3408296057513951</v>
      </c>
    </row>
    <row r="35" spans="1:8">
      <c r="A35" s="66" t="s">
        <v>67</v>
      </c>
      <c r="B35" s="71">
        <v>2018</v>
      </c>
      <c r="C35" s="66" t="s">
        <v>225</v>
      </c>
      <c r="D35" s="88" t="s">
        <v>244</v>
      </c>
      <c r="E35" s="88" t="s">
        <v>247</v>
      </c>
      <c r="F35" s="14">
        <v>7.7235564285714293</v>
      </c>
      <c r="G35" s="14">
        <v>8.0144807142857157</v>
      </c>
      <c r="H35" s="14">
        <v>7.4591428571428571</v>
      </c>
    </row>
    <row r="36" spans="1:8">
      <c r="A36" s="66" t="s">
        <v>67</v>
      </c>
      <c r="B36" s="71">
        <v>2004</v>
      </c>
      <c r="C36" s="66" t="s">
        <v>225</v>
      </c>
      <c r="D36" s="88" t="s">
        <v>244</v>
      </c>
      <c r="E36" s="88" t="s">
        <v>248</v>
      </c>
      <c r="F36" s="14">
        <v>5.0481550000000004</v>
      </c>
      <c r="G36" s="14">
        <v>5.0296714285714286</v>
      </c>
      <c r="H36" s="14">
        <v>5.0908864285714293</v>
      </c>
    </row>
    <row r="37" spans="1:8">
      <c r="A37" s="66" t="s">
        <v>67</v>
      </c>
      <c r="B37" s="71">
        <v>2005</v>
      </c>
      <c r="C37" s="66" t="s">
        <v>225</v>
      </c>
      <c r="D37" s="88" t="s">
        <v>244</v>
      </c>
      <c r="E37" s="88" t="s">
        <v>248</v>
      </c>
      <c r="F37" s="14">
        <v>5.0481550000000004</v>
      </c>
      <c r="G37" s="14">
        <v>5.0296714285714277</v>
      </c>
      <c r="H37" s="14">
        <v>5.0908864285714293</v>
      </c>
    </row>
    <row r="38" spans="1:8">
      <c r="A38" s="66" t="s">
        <v>67</v>
      </c>
      <c r="B38" s="71">
        <v>2006</v>
      </c>
      <c r="C38" s="66" t="s">
        <v>225</v>
      </c>
      <c r="D38" s="88" t="s">
        <v>244</v>
      </c>
      <c r="E38" s="88" t="s">
        <v>248</v>
      </c>
      <c r="F38" s="14">
        <v>5.0416276785714276</v>
      </c>
      <c r="G38" s="14">
        <v>5.0320925000000001</v>
      </c>
      <c r="H38" s="14">
        <v>5.0748991071428602</v>
      </c>
    </row>
    <row r="39" spans="1:8">
      <c r="A39" s="66" t="s">
        <v>67</v>
      </c>
      <c r="B39" s="71">
        <v>2007</v>
      </c>
      <c r="C39" s="66" t="s">
        <v>225</v>
      </c>
      <c r="D39" s="88" t="s">
        <v>244</v>
      </c>
      <c r="E39" s="88" t="s">
        <v>248</v>
      </c>
      <c r="F39" s="14">
        <v>5.0218755612244887</v>
      </c>
      <c r="G39" s="14">
        <v>5.0038034693877602</v>
      </c>
      <c r="H39" s="14">
        <v>5.0614619897959203</v>
      </c>
    </row>
    <row r="40" spans="1:8">
      <c r="A40" s="66" t="s">
        <v>67</v>
      </c>
      <c r="B40" s="71">
        <v>2009</v>
      </c>
      <c r="C40" s="66" t="s">
        <v>225</v>
      </c>
      <c r="D40" s="88" t="s">
        <v>244</v>
      </c>
      <c r="E40" s="88" t="s">
        <v>248</v>
      </c>
      <c r="F40" s="14">
        <v>5.0146680148422975</v>
      </c>
      <c r="G40" s="14">
        <v>4.9603465769944339</v>
      </c>
      <c r="H40" s="14">
        <v>5.0825201901669761</v>
      </c>
    </row>
    <row r="41" spans="1:8">
      <c r="A41" s="66" t="s">
        <v>67</v>
      </c>
      <c r="B41" s="71">
        <v>2011</v>
      </c>
      <c r="C41" s="66" t="s">
        <v>225</v>
      </c>
      <c r="D41" s="88" t="s">
        <v>244</v>
      </c>
      <c r="E41" s="88" t="s">
        <v>248</v>
      </c>
      <c r="F41" s="14">
        <v>5.0378842541743944</v>
      </c>
      <c r="G41" s="14">
        <v>4.9133778274582536</v>
      </c>
      <c r="H41" s="14">
        <v>5.1681661762523179</v>
      </c>
    </row>
    <row r="42" spans="1:8">
      <c r="A42" s="66" t="s">
        <v>67</v>
      </c>
      <c r="B42" s="71">
        <v>2012</v>
      </c>
      <c r="C42" s="66" t="s">
        <v>225</v>
      </c>
      <c r="D42" s="88" t="s">
        <v>244</v>
      </c>
      <c r="E42" s="88" t="s">
        <v>248</v>
      </c>
      <c r="F42" s="14">
        <v>5.0261762513914627</v>
      </c>
      <c r="G42" s="14">
        <v>4.904179498608535</v>
      </c>
      <c r="H42" s="14">
        <v>5.1531084805194851</v>
      </c>
    </row>
    <row r="43" spans="1:8">
      <c r="A43" s="66" t="s">
        <v>67</v>
      </c>
      <c r="B43" s="71">
        <v>2013</v>
      </c>
      <c r="C43" s="66" t="s">
        <v>225</v>
      </c>
      <c r="D43" s="88" t="s">
        <v>244</v>
      </c>
      <c r="E43" s="88" t="s">
        <v>248</v>
      </c>
      <c r="F43" s="14">
        <v>5.0536761057513884</v>
      </c>
      <c r="G43" s="14">
        <v>4.9275267649968999</v>
      </c>
      <c r="H43" s="14">
        <v>5.1841047133580753</v>
      </c>
    </row>
    <row r="44" spans="1:8">
      <c r="A44" s="66" t="s">
        <v>67</v>
      </c>
      <c r="B44" s="71">
        <v>2014</v>
      </c>
      <c r="C44" s="66" t="s">
        <v>225</v>
      </c>
      <c r="D44" s="88" t="s">
        <v>244</v>
      </c>
      <c r="E44" s="88" t="s">
        <v>248</v>
      </c>
      <c r="F44" s="14">
        <v>5.0944007560296809</v>
      </c>
      <c r="G44" s="14">
        <v>4.9815841334260922</v>
      </c>
      <c r="H44" s="14">
        <v>5.2125507421150354</v>
      </c>
    </row>
    <row r="45" spans="1:8">
      <c r="A45" s="66" t="s">
        <v>67</v>
      </c>
      <c r="B45" s="71">
        <v>2015</v>
      </c>
      <c r="C45" s="66" t="s">
        <v>225</v>
      </c>
      <c r="D45" s="88" t="s">
        <v>244</v>
      </c>
      <c r="E45" s="88" t="s">
        <v>248</v>
      </c>
      <c r="F45" s="14">
        <v>5.1264408348794008</v>
      </c>
      <c r="G45" s="14">
        <v>5.0349763589981391</v>
      </c>
      <c r="H45" s="14">
        <v>5.2246901994434207</v>
      </c>
    </row>
    <row r="46" spans="1:8">
      <c r="A46" s="66" t="s">
        <v>67</v>
      </c>
      <c r="B46" s="71">
        <v>2018</v>
      </c>
      <c r="C46" s="66" t="s">
        <v>225</v>
      </c>
      <c r="D46" s="88" t="s">
        <v>244</v>
      </c>
      <c r="E46" s="88" t="s">
        <v>248</v>
      </c>
      <c r="F46" s="14">
        <v>5.2701507142857142</v>
      </c>
      <c r="G46" s="14">
        <v>5.1504150000000006</v>
      </c>
      <c r="H46" s="14">
        <v>5.3963678571428577</v>
      </c>
    </row>
    <row r="47" spans="1:8">
      <c r="A47" s="66" t="s">
        <v>67</v>
      </c>
      <c r="B47" s="71">
        <v>2004</v>
      </c>
      <c r="C47" s="66" t="s">
        <v>225</v>
      </c>
      <c r="D47" s="88" t="s">
        <v>244</v>
      </c>
      <c r="E47" s="88" t="s">
        <v>249</v>
      </c>
      <c r="F47" s="14">
        <v>3.0593378571428569</v>
      </c>
      <c r="G47" s="14">
        <v>3.0501528571428578</v>
      </c>
      <c r="H47" s="14">
        <v>3.0638885714285711</v>
      </c>
    </row>
    <row r="48" spans="1:8">
      <c r="A48" s="66" t="s">
        <v>67</v>
      </c>
      <c r="B48" s="71">
        <v>2005</v>
      </c>
      <c r="C48" s="66" t="s">
        <v>225</v>
      </c>
      <c r="D48" s="88" t="s">
        <v>244</v>
      </c>
      <c r="E48" s="88" t="s">
        <v>249</v>
      </c>
      <c r="F48" s="14">
        <v>3.0593378571428573</v>
      </c>
      <c r="G48" s="14">
        <v>3.0501528571428573</v>
      </c>
      <c r="H48" s="14">
        <v>3.0638885714285711</v>
      </c>
    </row>
    <row r="49" spans="1:8">
      <c r="A49" s="66" t="s">
        <v>67</v>
      </c>
      <c r="B49" s="71">
        <v>2006</v>
      </c>
      <c r="C49" s="66" t="s">
        <v>225</v>
      </c>
      <c r="D49" s="88" t="s">
        <v>244</v>
      </c>
      <c r="E49" s="88" t="s">
        <v>249</v>
      </c>
      <c r="F49" s="14">
        <v>3.0603492857142855</v>
      </c>
      <c r="G49" s="14">
        <v>3.058689821428572</v>
      </c>
      <c r="H49" s="14">
        <v>3.0577714285714275</v>
      </c>
    </row>
    <row r="50" spans="1:8">
      <c r="A50" s="66" t="s">
        <v>67</v>
      </c>
      <c r="B50" s="71">
        <v>2007</v>
      </c>
      <c r="C50" s="66" t="s">
        <v>225</v>
      </c>
      <c r="D50" s="88" t="s">
        <v>244</v>
      </c>
      <c r="E50" s="88" t="s">
        <v>249</v>
      </c>
      <c r="F50" s="14">
        <v>3.0254537755102016</v>
      </c>
      <c r="G50" s="14">
        <v>3.0278220918367382</v>
      </c>
      <c r="H50" s="14">
        <v>3.0192480612244936</v>
      </c>
    </row>
    <row r="51" spans="1:8">
      <c r="A51" s="66" t="s">
        <v>67</v>
      </c>
      <c r="B51" s="71">
        <v>2009</v>
      </c>
      <c r="C51" s="66" t="s">
        <v>225</v>
      </c>
      <c r="D51" s="88" t="s">
        <v>244</v>
      </c>
      <c r="E51" s="88" t="s">
        <v>249</v>
      </c>
      <c r="F51" s="14">
        <v>2.9253235992578808</v>
      </c>
      <c r="G51" s="14">
        <v>2.927998028756964</v>
      </c>
      <c r="H51" s="14">
        <v>2.9229011317254256</v>
      </c>
    </row>
    <row r="52" spans="1:8">
      <c r="A52" s="66" t="s">
        <v>67</v>
      </c>
      <c r="B52" s="71">
        <v>2011</v>
      </c>
      <c r="C52" s="66" t="s">
        <v>225</v>
      </c>
      <c r="D52" s="88" t="s">
        <v>244</v>
      </c>
      <c r="E52" s="88" t="s">
        <v>249</v>
      </c>
      <c r="F52" s="14">
        <v>2.8375754230055663</v>
      </c>
      <c r="G52" s="14">
        <v>2.8195717513914667</v>
      </c>
      <c r="H52" s="14">
        <v>2.8589790593692053</v>
      </c>
    </row>
    <row r="53" spans="1:8">
      <c r="A53" s="66" t="s">
        <v>67</v>
      </c>
      <c r="B53" s="71">
        <v>2012</v>
      </c>
      <c r="C53" s="66" t="s">
        <v>225</v>
      </c>
      <c r="D53" s="88" t="s">
        <v>244</v>
      </c>
      <c r="E53" s="88" t="s">
        <v>249</v>
      </c>
      <c r="F53" s="14">
        <v>2.8277338348794023</v>
      </c>
      <c r="G53" s="14">
        <v>2.7528108576066854</v>
      </c>
      <c r="H53" s="14">
        <v>2.9130043752319152</v>
      </c>
    </row>
    <row r="54" spans="1:8">
      <c r="A54" s="66" t="s">
        <v>67</v>
      </c>
      <c r="B54" s="71">
        <v>2013</v>
      </c>
      <c r="C54" s="66" t="s">
        <v>225</v>
      </c>
      <c r="D54" s="88" t="s">
        <v>244</v>
      </c>
      <c r="E54" s="88" t="s">
        <v>249</v>
      </c>
      <c r="F54" s="14">
        <v>2.8431176038960979</v>
      </c>
      <c r="G54" s="14">
        <v>2.7268824638218931</v>
      </c>
      <c r="H54" s="14">
        <v>2.9776695720470134</v>
      </c>
    </row>
    <row r="55" spans="1:8">
      <c r="A55" s="66" t="s">
        <v>67</v>
      </c>
      <c r="B55" s="71">
        <v>2014</v>
      </c>
      <c r="C55" s="66" t="s">
        <v>225</v>
      </c>
      <c r="D55" s="88" t="s">
        <v>244</v>
      </c>
      <c r="E55" s="88" t="s">
        <v>249</v>
      </c>
      <c r="F55" s="14">
        <v>2.8944083116883124</v>
      </c>
      <c r="G55" s="14">
        <v>2.7403587639146685</v>
      </c>
      <c r="H55" s="14">
        <v>3.0747409933518952</v>
      </c>
    </row>
    <row r="56" spans="1:8">
      <c r="A56" s="66" t="s">
        <v>67</v>
      </c>
      <c r="B56" s="71">
        <v>2015</v>
      </c>
      <c r="C56" s="66" t="s">
        <v>225</v>
      </c>
      <c r="D56" s="88" t="s">
        <v>244</v>
      </c>
      <c r="E56" s="88" t="s">
        <v>249</v>
      </c>
      <c r="F56" s="14">
        <v>2.9384965909090823</v>
      </c>
      <c r="G56" s="14">
        <v>2.7495992068645729</v>
      </c>
      <c r="H56" s="14">
        <v>3.1617171289424877</v>
      </c>
    </row>
    <row r="57" spans="1:8">
      <c r="A57" s="66" t="s">
        <v>67</v>
      </c>
      <c r="B57" s="71">
        <v>2018</v>
      </c>
      <c r="C57" s="66" t="s">
        <v>225</v>
      </c>
      <c r="D57" s="88" t="s">
        <v>244</v>
      </c>
      <c r="E57" s="88" t="s">
        <v>249</v>
      </c>
      <c r="F57" s="14">
        <v>3.0572400000000002</v>
      </c>
      <c r="G57" s="14">
        <v>2.9188557142857143</v>
      </c>
      <c r="H57" s="14">
        <v>3.2323099999999996</v>
      </c>
    </row>
    <row r="58" spans="1:8">
      <c r="A58" s="66" t="s">
        <v>67</v>
      </c>
      <c r="B58" s="71">
        <v>2004</v>
      </c>
      <c r="C58" s="66" t="s">
        <v>225</v>
      </c>
      <c r="D58" s="88" t="s">
        <v>250</v>
      </c>
      <c r="E58" s="88" t="s">
        <v>245</v>
      </c>
      <c r="F58" s="14">
        <v>18.903121428571428</v>
      </c>
      <c r="G58" s="14">
        <v>21.841262142857147</v>
      </c>
      <c r="H58" s="14">
        <v>16.117234285714286</v>
      </c>
    </row>
    <row r="59" spans="1:8">
      <c r="A59" s="66" t="s">
        <v>67</v>
      </c>
      <c r="B59" s="71">
        <v>2005</v>
      </c>
      <c r="C59" s="66" t="s">
        <v>225</v>
      </c>
      <c r="D59" s="88" t="s">
        <v>250</v>
      </c>
      <c r="E59" s="88" t="s">
        <v>245</v>
      </c>
      <c r="F59" s="14">
        <v>18.903121428571431</v>
      </c>
      <c r="G59" s="14">
        <v>21.84126214285714</v>
      </c>
      <c r="H59" s="14">
        <v>16.117234285714286</v>
      </c>
    </row>
    <row r="60" spans="1:8">
      <c r="A60" s="66" t="s">
        <v>67</v>
      </c>
      <c r="B60" s="71">
        <v>2006</v>
      </c>
      <c r="C60" s="66" t="s">
        <v>225</v>
      </c>
      <c r="D60" s="88" t="s">
        <v>250</v>
      </c>
      <c r="E60" s="88" t="s">
        <v>245</v>
      </c>
      <c r="F60" s="14">
        <v>18.88289535714285</v>
      </c>
      <c r="G60" s="14">
        <v>21.774495535714294</v>
      </c>
      <c r="H60" s="14">
        <v>16.140083928571432</v>
      </c>
    </row>
    <row r="61" spans="1:8">
      <c r="A61" s="66" t="s">
        <v>67</v>
      </c>
      <c r="B61" s="71">
        <v>2007</v>
      </c>
      <c r="C61" s="66" t="s">
        <v>225</v>
      </c>
      <c r="D61" s="88" t="s">
        <v>250</v>
      </c>
      <c r="E61" s="88" t="s">
        <v>245</v>
      </c>
      <c r="F61" s="14">
        <v>18.744615102040822</v>
      </c>
      <c r="G61" s="14">
        <v>21.558101377551054</v>
      </c>
      <c r="H61" s="14">
        <v>16.077094387755135</v>
      </c>
    </row>
    <row r="62" spans="1:8">
      <c r="A62" s="66" t="s">
        <v>67</v>
      </c>
      <c r="B62" s="71">
        <v>2009</v>
      </c>
      <c r="C62" s="66" t="s">
        <v>225</v>
      </c>
      <c r="D62" s="88" t="s">
        <v>250</v>
      </c>
      <c r="E62" s="88" t="s">
        <v>245</v>
      </c>
      <c r="F62" s="14">
        <v>18.42445511131724</v>
      </c>
      <c r="G62" s="14">
        <v>21.002732801484285</v>
      </c>
      <c r="H62" s="14">
        <v>15.989728423005582</v>
      </c>
    </row>
    <row r="63" spans="1:8">
      <c r="A63" s="66" t="s">
        <v>67</v>
      </c>
      <c r="B63" s="71">
        <v>2011</v>
      </c>
      <c r="C63" s="66" t="s">
        <v>225</v>
      </c>
      <c r="D63" s="88" t="s">
        <v>250</v>
      </c>
      <c r="E63" s="88" t="s">
        <v>245</v>
      </c>
      <c r="F63" s="14">
        <v>17.997841834879416</v>
      </c>
      <c r="G63" s="14">
        <v>20.382954011131737</v>
      </c>
      <c r="H63" s="14">
        <v>15.759878029684598</v>
      </c>
    </row>
    <row r="64" spans="1:8">
      <c r="A64" s="66" t="s">
        <v>67</v>
      </c>
      <c r="B64" s="71">
        <v>2012</v>
      </c>
      <c r="C64" s="66" t="s">
        <v>225</v>
      </c>
      <c r="D64" s="88" t="s">
        <v>250</v>
      </c>
      <c r="E64" s="88" t="s">
        <v>245</v>
      </c>
      <c r="F64" s="14">
        <v>17.803367926252346</v>
      </c>
      <c r="G64" s="14">
        <v>20.061062013914658</v>
      </c>
      <c r="H64" s="14">
        <v>15.687959771799663</v>
      </c>
    </row>
    <row r="65" spans="1:8">
      <c r="A65" s="66" t="s">
        <v>67</v>
      </c>
      <c r="B65" s="71">
        <v>2013</v>
      </c>
      <c r="C65" s="66" t="s">
        <v>225</v>
      </c>
      <c r="D65" s="88" t="s">
        <v>250</v>
      </c>
      <c r="E65" s="88" t="s">
        <v>245</v>
      </c>
      <c r="F65" s="14">
        <v>17.612722708101447</v>
      </c>
      <c r="G65" s="14">
        <v>19.721886564316637</v>
      </c>
      <c r="H65" s="14">
        <v>15.639076037724186</v>
      </c>
    </row>
    <row r="66" spans="1:8">
      <c r="A66" s="66" t="s">
        <v>67</v>
      </c>
      <c r="B66" s="71">
        <v>2014</v>
      </c>
      <c r="C66" s="66" t="s">
        <v>225</v>
      </c>
      <c r="D66" s="88" t="s">
        <v>250</v>
      </c>
      <c r="E66" s="88" t="s">
        <v>245</v>
      </c>
      <c r="F66" s="14">
        <v>17.54013167362401</v>
      </c>
      <c r="G66" s="14">
        <v>19.532338665738997</v>
      </c>
      <c r="H66" s="14">
        <v>15.676031487322211</v>
      </c>
    </row>
    <row r="67" spans="1:8">
      <c r="A67" s="66" t="s">
        <v>67</v>
      </c>
      <c r="B67" s="71">
        <v>2015</v>
      </c>
      <c r="C67" s="66" t="s">
        <v>225</v>
      </c>
      <c r="D67" s="88" t="s">
        <v>250</v>
      </c>
      <c r="E67" s="88" t="s">
        <v>245</v>
      </c>
      <c r="F67" s="14">
        <v>17.540993353432281</v>
      </c>
      <c r="G67" s="14">
        <v>19.441762481447103</v>
      </c>
      <c r="H67" s="14">
        <v>15.761379508348805</v>
      </c>
    </row>
    <row r="68" spans="1:8">
      <c r="A68" s="66" t="s">
        <v>67</v>
      </c>
      <c r="B68" s="71">
        <v>2018</v>
      </c>
      <c r="C68" s="66" t="s">
        <v>225</v>
      </c>
      <c r="D68" s="88" t="s">
        <v>250</v>
      </c>
      <c r="E68" s="88" t="s">
        <v>245</v>
      </c>
      <c r="F68" s="14">
        <v>17.379904285714282</v>
      </c>
      <c r="G68" s="14">
        <v>18.993864285714288</v>
      </c>
      <c r="H68" s="14">
        <v>15.871762857142858</v>
      </c>
    </row>
    <row r="69" spans="1:8">
      <c r="A69" s="66" t="s">
        <v>67</v>
      </c>
      <c r="B69" s="71">
        <v>2004</v>
      </c>
      <c r="C69" s="66" t="s">
        <v>225</v>
      </c>
      <c r="D69" s="88" t="s">
        <v>250</v>
      </c>
      <c r="E69" s="88" t="s">
        <v>246</v>
      </c>
      <c r="F69" s="14">
        <v>12.859657857142855</v>
      </c>
      <c r="G69" s="14">
        <v>14.045687857142857</v>
      </c>
      <c r="H69" s="14">
        <v>11.674634285714287</v>
      </c>
    </row>
    <row r="70" spans="1:8">
      <c r="A70" s="66" t="s">
        <v>67</v>
      </c>
      <c r="B70" s="71">
        <v>2005</v>
      </c>
      <c r="C70" s="66" t="s">
        <v>225</v>
      </c>
      <c r="D70" s="88" t="s">
        <v>250</v>
      </c>
      <c r="E70" s="88" t="s">
        <v>246</v>
      </c>
      <c r="F70" s="14">
        <v>12.859657857142855</v>
      </c>
      <c r="G70" s="14">
        <v>14.045687857142855</v>
      </c>
      <c r="H70" s="14">
        <v>11.674634285714285</v>
      </c>
    </row>
    <row r="71" spans="1:8">
      <c r="A71" s="66" t="s">
        <v>67</v>
      </c>
      <c r="B71" s="71">
        <v>2006</v>
      </c>
      <c r="C71" s="66" t="s">
        <v>225</v>
      </c>
      <c r="D71" s="88" t="s">
        <v>250</v>
      </c>
      <c r="E71" s="88" t="s">
        <v>246</v>
      </c>
      <c r="F71" s="14">
        <v>12.845655535714283</v>
      </c>
      <c r="G71" s="14">
        <v>14.021829821428566</v>
      </c>
      <c r="H71" s="14">
        <v>11.669884999999997</v>
      </c>
    </row>
    <row r="72" spans="1:8">
      <c r="A72" s="66" t="s">
        <v>67</v>
      </c>
      <c r="B72" s="71">
        <v>2007</v>
      </c>
      <c r="C72" s="66" t="s">
        <v>225</v>
      </c>
      <c r="D72" s="88" t="s">
        <v>250</v>
      </c>
      <c r="E72" s="88" t="s">
        <v>246</v>
      </c>
      <c r="F72" s="14">
        <v>12.750945867346941</v>
      </c>
      <c r="G72" s="14">
        <v>13.885141071428583</v>
      </c>
      <c r="H72" s="14">
        <v>11.6163513265306</v>
      </c>
    </row>
    <row r="73" spans="1:8">
      <c r="A73" s="66" t="s">
        <v>67</v>
      </c>
      <c r="B73" s="71">
        <v>2009</v>
      </c>
      <c r="C73" s="66" t="s">
        <v>225</v>
      </c>
      <c r="D73" s="88" t="s">
        <v>250</v>
      </c>
      <c r="E73" s="88" t="s">
        <v>246</v>
      </c>
      <c r="F73" s="14">
        <v>12.428726725417471</v>
      </c>
      <c r="G73" s="14">
        <v>13.510250811688325</v>
      </c>
      <c r="H73" s="14">
        <v>11.35067664192951</v>
      </c>
    </row>
    <row r="74" spans="1:8">
      <c r="A74" s="66" t="s">
        <v>67</v>
      </c>
      <c r="B74" s="71">
        <v>2011</v>
      </c>
      <c r="C74" s="66" t="s">
        <v>225</v>
      </c>
      <c r="D74" s="88" t="s">
        <v>250</v>
      </c>
      <c r="E74" s="88" t="s">
        <v>246</v>
      </c>
      <c r="F74" s="14">
        <v>12.143089369202231</v>
      </c>
      <c r="G74" s="14">
        <v>13.212078337662335</v>
      </c>
      <c r="H74" s="14">
        <v>11.083130814471241</v>
      </c>
    </row>
    <row r="75" spans="1:8">
      <c r="A75" s="66" t="s">
        <v>67</v>
      </c>
      <c r="B75" s="71">
        <v>2012</v>
      </c>
      <c r="C75" s="66" t="s">
        <v>225</v>
      </c>
      <c r="D75" s="88" t="s">
        <v>250</v>
      </c>
      <c r="E75" s="88" t="s">
        <v>246</v>
      </c>
      <c r="F75" s="14">
        <v>12.157608191094665</v>
      </c>
      <c r="G75" s="14">
        <v>13.150069804731013</v>
      </c>
      <c r="H75" s="14">
        <v>11.174466395640104</v>
      </c>
    </row>
    <row r="76" spans="1:8">
      <c r="A76" s="66" t="s">
        <v>67</v>
      </c>
      <c r="B76" s="71">
        <v>2013</v>
      </c>
      <c r="C76" s="66" t="s">
        <v>225</v>
      </c>
      <c r="D76" s="88" t="s">
        <v>250</v>
      </c>
      <c r="E76" s="88" t="s">
        <v>246</v>
      </c>
      <c r="F76" s="14">
        <v>12.173463917748927</v>
      </c>
      <c r="G76" s="14">
        <v>13.092234247990115</v>
      </c>
      <c r="H76" s="14">
        <v>11.264167572046992</v>
      </c>
    </row>
    <row r="77" spans="1:8">
      <c r="A77" s="66" t="s">
        <v>67</v>
      </c>
      <c r="B77" s="71">
        <v>2014</v>
      </c>
      <c r="C77" s="66" t="s">
        <v>225</v>
      </c>
      <c r="D77" s="88" t="s">
        <v>250</v>
      </c>
      <c r="E77" s="88" t="s">
        <v>246</v>
      </c>
      <c r="F77" s="14">
        <v>12.270026991341991</v>
      </c>
      <c r="G77" s="14">
        <v>13.147229405534949</v>
      </c>
      <c r="H77" s="14">
        <v>11.402653136209036</v>
      </c>
    </row>
    <row r="78" spans="1:8">
      <c r="A78" s="66" t="s">
        <v>67</v>
      </c>
      <c r="B78" s="71">
        <v>2015</v>
      </c>
      <c r="C78" s="66" t="s">
        <v>225</v>
      </c>
      <c r="D78" s="88" t="s">
        <v>250</v>
      </c>
      <c r="E78" s="88" t="s">
        <v>246</v>
      </c>
      <c r="F78" s="14">
        <v>12.362301493506493</v>
      </c>
      <c r="G78" s="14">
        <v>13.187723705936916</v>
      </c>
      <c r="H78" s="14">
        <v>11.546823557513914</v>
      </c>
    </row>
    <row r="79" spans="1:8">
      <c r="A79" s="66" t="s">
        <v>67</v>
      </c>
      <c r="B79" s="71">
        <v>2018</v>
      </c>
      <c r="C79" s="66" t="s">
        <v>225</v>
      </c>
      <c r="D79" s="88" t="s">
        <v>250</v>
      </c>
      <c r="E79" s="88" t="s">
        <v>246</v>
      </c>
      <c r="F79" s="14">
        <v>12.295226428571427</v>
      </c>
      <c r="G79" s="14">
        <v>13.085565714285718</v>
      </c>
      <c r="H79" s="14">
        <v>11.513618571428571</v>
      </c>
    </row>
    <row r="80" spans="1:8">
      <c r="A80" s="66" t="s">
        <v>67</v>
      </c>
      <c r="B80" s="71">
        <v>2004</v>
      </c>
      <c r="C80" s="66" t="s">
        <v>225</v>
      </c>
      <c r="D80" s="88" t="s">
        <v>250</v>
      </c>
      <c r="E80" s="88" t="s">
        <v>247</v>
      </c>
      <c r="F80" s="14">
        <v>8.3128778571428565</v>
      </c>
      <c r="G80" s="14">
        <v>9.0689578571428573</v>
      </c>
      <c r="H80" s="14">
        <v>7.5942700000000007</v>
      </c>
    </row>
    <row r="81" spans="1:8">
      <c r="A81" s="66" t="s">
        <v>67</v>
      </c>
      <c r="B81" s="71">
        <v>2005</v>
      </c>
      <c r="C81" s="66" t="s">
        <v>225</v>
      </c>
      <c r="D81" s="88" t="s">
        <v>250</v>
      </c>
      <c r="E81" s="88" t="s">
        <v>247</v>
      </c>
      <c r="F81" s="14">
        <v>8.3128778571428565</v>
      </c>
      <c r="G81" s="14">
        <v>9.0689578571428573</v>
      </c>
      <c r="H81" s="14">
        <v>7.5942700000000007</v>
      </c>
    </row>
    <row r="82" spans="1:8">
      <c r="A82" s="66" t="s">
        <v>67</v>
      </c>
      <c r="B82" s="71">
        <v>2006</v>
      </c>
      <c r="C82" s="66" t="s">
        <v>225</v>
      </c>
      <c r="D82" s="88" t="s">
        <v>250</v>
      </c>
      <c r="E82" s="88" t="s">
        <v>247</v>
      </c>
      <c r="F82" s="14">
        <v>8.3223662500000017</v>
      </c>
      <c r="G82" s="14">
        <v>9.0694666071428589</v>
      </c>
      <c r="H82" s="14">
        <v>7.6126510714285729</v>
      </c>
    </row>
    <row r="83" spans="1:8">
      <c r="A83" s="66" t="s">
        <v>67</v>
      </c>
      <c r="B83" s="71">
        <v>2007</v>
      </c>
      <c r="C83" s="66" t="s">
        <v>225</v>
      </c>
      <c r="D83" s="88" t="s">
        <v>250</v>
      </c>
      <c r="E83" s="88" t="s">
        <v>247</v>
      </c>
      <c r="F83" s="14">
        <v>8.2526349489795532</v>
      </c>
      <c r="G83" s="14">
        <v>8.9748488265306356</v>
      </c>
      <c r="H83" s="14">
        <v>7.5786402040816254</v>
      </c>
    </row>
    <row r="84" spans="1:8">
      <c r="A84" s="66" t="s">
        <v>67</v>
      </c>
      <c r="B84" s="71">
        <v>2009</v>
      </c>
      <c r="C84" s="66" t="s">
        <v>225</v>
      </c>
      <c r="D84" s="88" t="s">
        <v>250</v>
      </c>
      <c r="E84" s="88" t="s">
        <v>247</v>
      </c>
      <c r="F84" s="14">
        <v>7.9659189703153919</v>
      </c>
      <c r="G84" s="14">
        <v>8.6606580705009275</v>
      </c>
      <c r="H84" s="14">
        <v>7.3426716836734656</v>
      </c>
    </row>
    <row r="85" spans="1:8">
      <c r="A85" s="66" t="s">
        <v>67</v>
      </c>
      <c r="B85" s="71">
        <v>2011</v>
      </c>
      <c r="C85" s="66" t="s">
        <v>225</v>
      </c>
      <c r="D85" s="88" t="s">
        <v>250</v>
      </c>
      <c r="E85" s="88" t="s">
        <v>247</v>
      </c>
      <c r="F85" s="14">
        <v>7.638057920222626</v>
      </c>
      <c r="G85" s="14">
        <v>8.3339458144712371</v>
      </c>
      <c r="H85" s="14">
        <v>7.0370030204081528</v>
      </c>
    </row>
    <row r="86" spans="1:8">
      <c r="A86" s="66" t="s">
        <v>67</v>
      </c>
      <c r="B86" s="71">
        <v>2012</v>
      </c>
      <c r="C86" s="66" t="s">
        <v>225</v>
      </c>
      <c r="D86" s="88" t="s">
        <v>250</v>
      </c>
      <c r="E86" s="88" t="s">
        <v>247</v>
      </c>
      <c r="F86" s="14">
        <v>7.6063010941558247</v>
      </c>
      <c r="G86" s="14">
        <v>8.2610736915584528</v>
      </c>
      <c r="H86" s="14">
        <v>7.0497665204081752</v>
      </c>
    </row>
    <row r="87" spans="1:8">
      <c r="A87" s="66" t="s">
        <v>67</v>
      </c>
      <c r="B87" s="71">
        <v>2013</v>
      </c>
      <c r="C87" s="66" t="s">
        <v>225</v>
      </c>
      <c r="D87" s="88" t="s">
        <v>250</v>
      </c>
      <c r="E87" s="88" t="s">
        <v>247</v>
      </c>
      <c r="F87" s="14">
        <v>7.5524284347557185</v>
      </c>
      <c r="G87" s="14">
        <v>8.1229128781694691</v>
      </c>
      <c r="H87" s="14">
        <v>7.0735681156462862</v>
      </c>
    </row>
    <row r="88" spans="1:8">
      <c r="A88" s="66" t="s">
        <v>67</v>
      </c>
      <c r="B88" s="71">
        <v>2014</v>
      </c>
      <c r="C88" s="66" t="s">
        <v>225</v>
      </c>
      <c r="D88" s="88" t="s">
        <v>250</v>
      </c>
      <c r="E88" s="88" t="s">
        <v>247</v>
      </c>
      <c r="F88" s="14">
        <v>7.5777754692331643</v>
      </c>
      <c r="G88" s="14">
        <v>8.0798785953927066</v>
      </c>
      <c r="H88" s="14">
        <v>7.1497616496598697</v>
      </c>
    </row>
    <row r="89" spans="1:8">
      <c r="A89" s="66" t="s">
        <v>67</v>
      </c>
      <c r="B89" s="71">
        <v>2015</v>
      </c>
      <c r="C89" s="66" t="s">
        <v>225</v>
      </c>
      <c r="D89" s="88" t="s">
        <v>250</v>
      </c>
      <c r="E89" s="88" t="s">
        <v>247</v>
      </c>
      <c r="F89" s="14">
        <v>7.6142066465677134</v>
      </c>
      <c r="G89" s="14">
        <v>8.0425963126159647</v>
      </c>
      <c r="H89" s="14">
        <v>7.2424241836734691</v>
      </c>
    </row>
    <row r="90" spans="1:8">
      <c r="A90" s="66" t="s">
        <v>67</v>
      </c>
      <c r="B90" s="71">
        <v>2018</v>
      </c>
      <c r="C90" s="66" t="s">
        <v>225</v>
      </c>
      <c r="D90" s="88" t="s">
        <v>250</v>
      </c>
      <c r="E90" s="88" t="s">
        <v>247</v>
      </c>
      <c r="F90" s="14">
        <v>7.4743807142857142</v>
      </c>
      <c r="G90" s="14">
        <v>7.7106335714285725</v>
      </c>
      <c r="H90" s="14">
        <v>7.2573857142857134</v>
      </c>
    </row>
    <row r="91" spans="1:8">
      <c r="A91" s="66" t="s">
        <v>67</v>
      </c>
      <c r="B91" s="71">
        <v>2004</v>
      </c>
      <c r="C91" s="66" t="s">
        <v>225</v>
      </c>
      <c r="D91" s="88" t="s">
        <v>250</v>
      </c>
      <c r="E91" s="88" t="s">
        <v>248</v>
      </c>
      <c r="F91" s="14">
        <v>5.7627299999999995</v>
      </c>
      <c r="G91" s="14">
        <v>6.0715178571428572</v>
      </c>
      <c r="H91" s="14">
        <v>5.4542278571428557</v>
      </c>
    </row>
    <row r="92" spans="1:8">
      <c r="A92" s="66" t="s">
        <v>67</v>
      </c>
      <c r="B92" s="71">
        <v>2005</v>
      </c>
      <c r="C92" s="66" t="s">
        <v>225</v>
      </c>
      <c r="D92" s="88" t="s">
        <v>250</v>
      </c>
      <c r="E92" s="88" t="s">
        <v>248</v>
      </c>
      <c r="F92" s="14">
        <v>5.7627299999999995</v>
      </c>
      <c r="G92" s="14">
        <v>6.0715178571428563</v>
      </c>
      <c r="H92" s="14">
        <v>5.4542278571428566</v>
      </c>
    </row>
    <row r="93" spans="1:8">
      <c r="A93" s="66" t="s">
        <v>67</v>
      </c>
      <c r="B93" s="71">
        <v>2006</v>
      </c>
      <c r="C93" s="66" t="s">
        <v>225</v>
      </c>
      <c r="D93" s="88" t="s">
        <v>250</v>
      </c>
      <c r="E93" s="88" t="s">
        <v>248</v>
      </c>
      <c r="F93" s="14">
        <v>5.7618423214285723</v>
      </c>
      <c r="G93" s="14">
        <v>6.1010691071428651</v>
      </c>
      <c r="H93" s="14">
        <v>5.4215605357142831</v>
      </c>
    </row>
    <row r="94" spans="1:8">
      <c r="A94" s="66" t="s">
        <v>67</v>
      </c>
      <c r="B94" s="71">
        <v>2007</v>
      </c>
      <c r="C94" s="66" t="s">
        <v>225</v>
      </c>
      <c r="D94" s="88" t="s">
        <v>250</v>
      </c>
      <c r="E94" s="88" t="s">
        <v>248</v>
      </c>
      <c r="F94" s="14">
        <v>5.695387806122449</v>
      </c>
      <c r="G94" s="14">
        <v>6.031009540816318</v>
      </c>
      <c r="H94" s="14">
        <v>5.3604983163265345</v>
      </c>
    </row>
    <row r="95" spans="1:8">
      <c r="A95" s="66" t="s">
        <v>67</v>
      </c>
      <c r="B95" s="71">
        <v>2009</v>
      </c>
      <c r="C95" s="66" t="s">
        <v>225</v>
      </c>
      <c r="D95" s="88" t="s">
        <v>250</v>
      </c>
      <c r="E95" s="88" t="s">
        <v>248</v>
      </c>
      <c r="F95" s="14">
        <v>5.3222555287569353</v>
      </c>
      <c r="G95" s="14">
        <v>5.4943377133581084</v>
      </c>
      <c r="H95" s="14">
        <v>5.137386961966607</v>
      </c>
    </row>
    <row r="96" spans="1:8">
      <c r="A96" s="66" t="s">
        <v>67</v>
      </c>
      <c r="B96" s="71">
        <v>2011</v>
      </c>
      <c r="C96" s="66" t="s">
        <v>225</v>
      </c>
      <c r="D96" s="88" t="s">
        <v>250</v>
      </c>
      <c r="E96" s="88" t="s">
        <v>248</v>
      </c>
      <c r="F96" s="14">
        <v>4.9249383228200401</v>
      </c>
      <c r="G96" s="14">
        <v>4.8449696716140966</v>
      </c>
      <c r="H96" s="14">
        <v>4.9799585361781098</v>
      </c>
    </row>
    <row r="97" spans="1:8">
      <c r="A97" s="66" t="s">
        <v>67</v>
      </c>
      <c r="B97" s="71">
        <v>2012</v>
      </c>
      <c r="C97" s="66" t="s">
        <v>225</v>
      </c>
      <c r="D97" s="88" t="s">
        <v>250</v>
      </c>
      <c r="E97" s="88" t="s">
        <v>248</v>
      </c>
      <c r="F97" s="14">
        <v>4.8685240310760651</v>
      </c>
      <c r="G97" s="14">
        <v>4.7408685078849846</v>
      </c>
      <c r="H97" s="14">
        <v>4.9904459814471265</v>
      </c>
    </row>
    <row r="98" spans="1:8">
      <c r="A98" s="66" t="s">
        <v>67</v>
      </c>
      <c r="B98" s="71">
        <v>2013</v>
      </c>
      <c r="C98" s="66" t="s">
        <v>225</v>
      </c>
      <c r="D98" s="88" t="s">
        <v>250</v>
      </c>
      <c r="E98" s="88" t="s">
        <v>248</v>
      </c>
      <c r="F98" s="14">
        <v>4.8121097393320937</v>
      </c>
      <c r="G98" s="14">
        <v>4.636767344155861</v>
      </c>
      <c r="H98" s="14">
        <v>5.0009334267161245</v>
      </c>
    </row>
    <row r="99" spans="1:8">
      <c r="A99" s="66" t="s">
        <v>67</v>
      </c>
      <c r="B99" s="71">
        <v>2014</v>
      </c>
      <c r="C99" s="66" t="s">
        <v>225</v>
      </c>
      <c r="D99" s="88" t="s">
        <v>250</v>
      </c>
      <c r="E99" s="88" t="s">
        <v>248</v>
      </c>
      <c r="F99" s="14">
        <v>4.821262284322823</v>
      </c>
      <c r="G99" s="14">
        <v>4.6322769967532649</v>
      </c>
      <c r="H99" s="14">
        <v>5.0398157699443269</v>
      </c>
    </row>
    <row r="100" spans="1:8">
      <c r="A100" s="66" t="s">
        <v>67</v>
      </c>
      <c r="B100" s="71">
        <v>2015</v>
      </c>
      <c r="C100" s="66" t="s">
        <v>225</v>
      </c>
      <c r="D100" s="88" t="s">
        <v>250</v>
      </c>
      <c r="E100" s="88" t="s">
        <v>248</v>
      </c>
      <c r="F100" s="14">
        <v>4.8433949721706915</v>
      </c>
      <c r="G100" s="14">
        <v>4.6545835064935215</v>
      </c>
      <c r="H100" s="14">
        <v>5.0785239703153975</v>
      </c>
    </row>
    <row r="101" spans="1:8">
      <c r="A101" s="66" t="s">
        <v>67</v>
      </c>
      <c r="B101" s="71">
        <v>2018</v>
      </c>
      <c r="C101" s="66" t="s">
        <v>225</v>
      </c>
      <c r="D101" s="88" t="s">
        <v>250</v>
      </c>
      <c r="E101" s="88" t="s">
        <v>248</v>
      </c>
      <c r="F101" s="14">
        <v>4.7817985714285713</v>
      </c>
      <c r="G101" s="14">
        <v>4.5391721428571428</v>
      </c>
      <c r="H101" s="14">
        <v>5.0651985714285725</v>
      </c>
    </row>
    <row r="102" spans="1:8">
      <c r="A102" s="66" t="s">
        <v>67</v>
      </c>
      <c r="B102" s="71">
        <v>2004</v>
      </c>
      <c r="C102" s="66" t="s">
        <v>225</v>
      </c>
      <c r="D102" s="88" t="s">
        <v>250</v>
      </c>
      <c r="E102" s="88" t="s">
        <v>249</v>
      </c>
      <c r="F102" s="14">
        <v>3.8714828571428574</v>
      </c>
      <c r="G102" s="14">
        <v>2.5632064285714287</v>
      </c>
      <c r="H102" s="14">
        <v>4.2640707142857144</v>
      </c>
    </row>
    <row r="103" spans="1:8">
      <c r="A103" s="66" t="s">
        <v>67</v>
      </c>
      <c r="B103" s="71">
        <v>2005</v>
      </c>
      <c r="C103" s="66" t="s">
        <v>225</v>
      </c>
      <c r="D103" s="88" t="s">
        <v>250</v>
      </c>
      <c r="E103" s="88" t="s">
        <v>249</v>
      </c>
      <c r="F103" s="14">
        <v>3.8714828571428583</v>
      </c>
      <c r="G103" s="14">
        <v>2.5632064285714287</v>
      </c>
      <c r="H103" s="14">
        <v>4.2640707142857135</v>
      </c>
    </row>
    <row r="104" spans="1:8">
      <c r="A104" s="66" t="s">
        <v>67</v>
      </c>
      <c r="B104" s="71">
        <v>2006</v>
      </c>
      <c r="C104" s="66" t="s">
        <v>225</v>
      </c>
      <c r="D104" s="88" t="s">
        <v>250</v>
      </c>
      <c r="E104" s="88" t="s">
        <v>249</v>
      </c>
      <c r="F104" s="14">
        <v>3.8962516071428555</v>
      </c>
      <c r="G104" s="14">
        <v>2.6296887499999992</v>
      </c>
      <c r="H104" s="14">
        <v>4.2531448214285712</v>
      </c>
    </row>
    <row r="105" spans="1:8">
      <c r="A105" s="66" t="s">
        <v>67</v>
      </c>
      <c r="B105" s="71">
        <v>2007</v>
      </c>
      <c r="C105" s="66" t="s">
        <v>225</v>
      </c>
      <c r="D105" s="88" t="s">
        <v>250</v>
      </c>
      <c r="E105" s="88" t="s">
        <v>249</v>
      </c>
      <c r="F105" s="14">
        <v>3.8397189285714064</v>
      </c>
      <c r="G105" s="14">
        <v>2.5949982142857615</v>
      </c>
      <c r="H105" s="14">
        <v>4.1787437244897969</v>
      </c>
    </row>
    <row r="106" spans="1:8">
      <c r="A106" s="66" t="s">
        <v>67</v>
      </c>
      <c r="B106" s="71">
        <v>2009</v>
      </c>
      <c r="C106" s="66" t="s">
        <v>225</v>
      </c>
      <c r="D106" s="88" t="s">
        <v>250</v>
      </c>
      <c r="E106" s="88" t="s">
        <v>249</v>
      </c>
      <c r="F106" s="14">
        <v>3.4415746103896057</v>
      </c>
      <c r="G106" s="14">
        <v>3.0458982142857374</v>
      </c>
      <c r="H106" s="14">
        <v>3.3879190306122005</v>
      </c>
    </row>
    <row r="107" spans="1:8">
      <c r="A107" s="66" t="s">
        <v>67</v>
      </c>
      <c r="B107" s="71">
        <v>2011</v>
      </c>
      <c r="C107" s="66" t="s">
        <v>225</v>
      </c>
      <c r="D107" s="88" t="s">
        <v>250</v>
      </c>
      <c r="E107" s="88" t="s">
        <v>249</v>
      </c>
      <c r="F107" s="14">
        <v>2.9274130779220711</v>
      </c>
      <c r="G107" s="14">
        <v>3.2314101428571753</v>
      </c>
      <c r="H107" s="14">
        <v>2.6088224081632645</v>
      </c>
    </row>
    <row r="108" spans="1:8">
      <c r="A108" s="66" t="s">
        <v>67</v>
      </c>
      <c r="B108" s="71">
        <v>2012</v>
      </c>
      <c r="C108" s="66" t="s">
        <v>225</v>
      </c>
      <c r="D108" s="88" t="s">
        <v>250</v>
      </c>
      <c r="E108" s="88" t="s">
        <v>249</v>
      </c>
      <c r="F108" s="14">
        <v>2.919941852504607</v>
      </c>
      <c r="G108" s="14">
        <v>3.0737199081633011</v>
      </c>
      <c r="H108" s="14">
        <v>2.3092798112244353</v>
      </c>
    </row>
    <row r="109" spans="1:8">
      <c r="A109" s="66" t="s">
        <v>67</v>
      </c>
      <c r="B109" s="71">
        <v>2013</v>
      </c>
      <c r="C109" s="66" t="s">
        <v>225</v>
      </c>
      <c r="D109" s="88" t="s">
        <v>250</v>
      </c>
      <c r="E109" s="88" t="s">
        <v>249</v>
      </c>
      <c r="F109" s="14">
        <v>2.9278005080395717</v>
      </c>
      <c r="G109" s="14">
        <v>2.9458514591836789</v>
      </c>
      <c r="H109" s="14">
        <v>2.00973721428567</v>
      </c>
    </row>
    <row r="110" spans="1:8">
      <c r="A110" s="66" t="s">
        <v>67</v>
      </c>
      <c r="B110" s="71">
        <v>2014</v>
      </c>
      <c r="C110" s="66" t="s">
        <v>225</v>
      </c>
      <c r="D110" s="88" t="s">
        <v>250</v>
      </c>
      <c r="E110" s="88" t="s">
        <v>249</v>
      </c>
      <c r="F110" s="14">
        <v>3.0169605921459342</v>
      </c>
      <c r="G110" s="14">
        <v>2.9191558673469435</v>
      </c>
      <c r="H110" s="14">
        <v>1.77366982142855</v>
      </c>
    </row>
    <row r="111" spans="1:8">
      <c r="A111" s="66" t="s">
        <v>67</v>
      </c>
      <c r="B111" s="71">
        <v>2015</v>
      </c>
      <c r="C111" s="66" t="s">
        <v>225</v>
      </c>
      <c r="D111" s="88" t="s">
        <v>250</v>
      </c>
      <c r="E111" s="88" t="s">
        <v>249</v>
      </c>
      <c r="F111" s="14">
        <v>3.1393605333951817</v>
      </c>
      <c r="G111" s="14">
        <v>2.9586719897959179</v>
      </c>
      <c r="H111" s="14">
        <v>1.5426642857142858</v>
      </c>
    </row>
    <row r="112" spans="1:8">
      <c r="A112" s="66" t="s">
        <v>67</v>
      </c>
      <c r="B112" s="71">
        <v>2018</v>
      </c>
      <c r="C112" s="66" t="s">
        <v>225</v>
      </c>
      <c r="D112" s="88" t="s">
        <v>250</v>
      </c>
      <c r="E112" s="88" t="s">
        <v>249</v>
      </c>
      <c r="F112" s="14">
        <v>3.0967121428571431</v>
      </c>
      <c r="G112" s="14">
        <v>2.881102857142857</v>
      </c>
      <c r="H112" s="14">
        <v>1.5303021428571431</v>
      </c>
    </row>
    <row r="113" spans="1:8">
      <c r="A113" s="66" t="s">
        <v>67</v>
      </c>
      <c r="B113" s="71">
        <v>2004</v>
      </c>
      <c r="C113" s="66" t="s">
        <v>225</v>
      </c>
      <c r="D113" s="88" t="s">
        <v>251</v>
      </c>
      <c r="E113" s="88" t="s">
        <v>245</v>
      </c>
      <c r="F113" s="14">
        <v>7.2723049999999985</v>
      </c>
      <c r="G113" s="14">
        <v>6.3823614285714285</v>
      </c>
      <c r="H113" s="14">
        <v>6.9614042857142859</v>
      </c>
    </row>
    <row r="114" spans="1:8">
      <c r="A114" s="66" t="s">
        <v>67</v>
      </c>
      <c r="B114" s="71">
        <v>2005</v>
      </c>
      <c r="C114" s="66" t="s">
        <v>225</v>
      </c>
      <c r="D114" s="88" t="s">
        <v>251</v>
      </c>
      <c r="E114" s="88" t="s">
        <v>245</v>
      </c>
      <c r="F114" s="14">
        <v>7.2723050000000002</v>
      </c>
      <c r="G114" s="14">
        <v>6.3823614285714285</v>
      </c>
      <c r="H114" s="14">
        <v>6.9614042857142859</v>
      </c>
    </row>
    <row r="115" spans="1:8">
      <c r="A115" s="66" t="s">
        <v>67</v>
      </c>
      <c r="B115" s="71">
        <v>2006</v>
      </c>
      <c r="C115" s="66" t="s">
        <v>225</v>
      </c>
      <c r="D115" s="88" t="s">
        <v>251</v>
      </c>
      <c r="E115" s="88" t="s">
        <v>245</v>
      </c>
      <c r="F115" s="14">
        <v>7.2423007142857108</v>
      </c>
      <c r="G115" s="14">
        <v>6.3354117857142906</v>
      </c>
      <c r="H115" s="14">
        <v>6.9450523214285713</v>
      </c>
    </row>
    <row r="116" spans="1:8">
      <c r="A116" s="66" t="s">
        <v>67</v>
      </c>
      <c r="B116" s="71">
        <v>2007</v>
      </c>
      <c r="C116" s="66" t="s">
        <v>225</v>
      </c>
      <c r="D116" s="88" t="s">
        <v>251</v>
      </c>
      <c r="E116" s="88" t="s">
        <v>245</v>
      </c>
      <c r="F116" s="14">
        <v>7.6521222448980009</v>
      </c>
      <c r="G116" s="14">
        <v>6.2884621428571492</v>
      </c>
      <c r="H116" s="14">
        <v>6.9287003571428576</v>
      </c>
    </row>
    <row r="117" spans="1:8">
      <c r="A117" s="66" t="s">
        <v>67</v>
      </c>
      <c r="B117" s="71">
        <v>2009</v>
      </c>
      <c r="C117" s="66" t="s">
        <v>225</v>
      </c>
      <c r="D117" s="88" t="s">
        <v>251</v>
      </c>
      <c r="E117" s="88" t="s">
        <v>245</v>
      </c>
      <c r="F117" s="14">
        <v>10.673933065862647</v>
      </c>
      <c r="G117" s="14">
        <v>6.1950023376623378</v>
      </c>
      <c r="H117" s="14">
        <v>6.919109155844156</v>
      </c>
    </row>
    <row r="118" spans="1:8">
      <c r="A118" s="66" t="s">
        <v>67</v>
      </c>
      <c r="B118" s="71">
        <v>2011</v>
      </c>
      <c r="C118" s="66" t="s">
        <v>225</v>
      </c>
      <c r="D118" s="88" t="s">
        <v>251</v>
      </c>
      <c r="E118" s="88" t="s">
        <v>245</v>
      </c>
      <c r="F118" s="14">
        <v>13.624707029684568</v>
      </c>
      <c r="G118" s="14">
        <v>5.9350498181818034</v>
      </c>
      <c r="H118" s="14">
        <v>6.942810454545457</v>
      </c>
    </row>
    <row r="119" spans="1:8">
      <c r="A119" s="66" t="s">
        <v>67</v>
      </c>
      <c r="B119" s="71">
        <v>2012</v>
      </c>
      <c r="C119" s="66" t="s">
        <v>225</v>
      </c>
      <c r="D119" s="88" t="s">
        <v>251</v>
      </c>
      <c r="E119" s="88" t="s">
        <v>245</v>
      </c>
      <c r="F119" s="14">
        <v>13.616999368738353</v>
      </c>
      <c r="G119" s="14">
        <v>6.4193752166048013</v>
      </c>
      <c r="H119" s="14">
        <v>7.7604778896102564</v>
      </c>
    </row>
    <row r="120" spans="1:8">
      <c r="A120" s="66" t="s">
        <v>67</v>
      </c>
      <c r="B120" s="71">
        <v>2013</v>
      </c>
      <c r="C120" s="66" t="s">
        <v>225</v>
      </c>
      <c r="D120" s="88" t="s">
        <v>251</v>
      </c>
      <c r="E120" s="88" t="s">
        <v>245</v>
      </c>
      <c r="F120" s="14">
        <v>13.601029922077799</v>
      </c>
      <c r="G120" s="14">
        <v>6.8906960912182473</v>
      </c>
      <c r="H120" s="14">
        <v>8.5739069913419836</v>
      </c>
    </row>
    <row r="121" spans="1:8">
      <c r="A121" s="66" t="s">
        <v>67</v>
      </c>
      <c r="B121" s="71">
        <v>2014</v>
      </c>
      <c r="C121" s="66" t="s">
        <v>225</v>
      </c>
      <c r="D121" s="88" t="s">
        <v>251</v>
      </c>
      <c r="E121" s="88" t="s">
        <v>245</v>
      </c>
      <c r="F121" s="14">
        <v>13.145234659090878</v>
      </c>
      <c r="G121" s="14">
        <v>7.362016965831673</v>
      </c>
      <c r="H121" s="14">
        <v>9.3873360930734542</v>
      </c>
    </row>
    <row r="122" spans="1:8">
      <c r="A122" s="66" t="s">
        <v>67</v>
      </c>
      <c r="B122" s="71">
        <v>2015</v>
      </c>
      <c r="C122" s="66" t="s">
        <v>225</v>
      </c>
      <c r="D122" s="88" t="s">
        <v>251</v>
      </c>
      <c r="E122" s="88" t="s">
        <v>245</v>
      </c>
      <c r="F122" s="14">
        <v>12.754962110389608</v>
      </c>
      <c r="G122" s="14">
        <v>7.9635338404452671</v>
      </c>
      <c r="H122" s="14">
        <v>10.200470909090912</v>
      </c>
    </row>
    <row r="123" spans="1:8">
      <c r="A123" s="66" t="s">
        <v>67</v>
      </c>
      <c r="B123" s="71">
        <v>2018</v>
      </c>
      <c r="C123" s="66" t="s">
        <v>225</v>
      </c>
      <c r="D123" s="88" t="s">
        <v>251</v>
      </c>
      <c r="E123" s="88" t="s">
        <v>245</v>
      </c>
      <c r="F123" s="14">
        <v>12.697095714285712</v>
      </c>
      <c r="G123" s="14">
        <v>7.7675221428571417</v>
      </c>
      <c r="H123" s="14">
        <v>10.275788571428572</v>
      </c>
    </row>
    <row r="124" spans="1:8">
      <c r="A124" s="66" t="s">
        <v>67</v>
      </c>
      <c r="B124" s="71">
        <v>2004</v>
      </c>
      <c r="C124" s="66" t="s">
        <v>225</v>
      </c>
      <c r="D124" s="88" t="s">
        <v>251</v>
      </c>
      <c r="E124" s="88" t="s">
        <v>246</v>
      </c>
      <c r="F124" s="14">
        <v>12.419932857142859</v>
      </c>
      <c r="G124" s="14">
        <v>9.0781657142857135</v>
      </c>
      <c r="H124" s="14">
        <v>8.3123735714285711</v>
      </c>
    </row>
    <row r="125" spans="1:8">
      <c r="A125" s="66" t="s">
        <v>67</v>
      </c>
      <c r="B125" s="71">
        <v>2005</v>
      </c>
      <c r="C125" s="66" t="s">
        <v>225</v>
      </c>
      <c r="D125" s="88" t="s">
        <v>251</v>
      </c>
      <c r="E125" s="88" t="s">
        <v>246</v>
      </c>
      <c r="F125" s="14">
        <v>12.419932857142857</v>
      </c>
      <c r="G125" s="14">
        <v>9.0781657142857135</v>
      </c>
      <c r="H125" s="14">
        <v>8.3123735714285711</v>
      </c>
    </row>
    <row r="126" spans="1:8">
      <c r="A126" s="66" t="s">
        <v>67</v>
      </c>
      <c r="B126" s="71">
        <v>2006</v>
      </c>
      <c r="C126" s="66" t="s">
        <v>225</v>
      </c>
      <c r="D126" s="88" t="s">
        <v>251</v>
      </c>
      <c r="E126" s="88" t="s">
        <v>246</v>
      </c>
      <c r="F126" s="14">
        <v>12.428143392857143</v>
      </c>
      <c r="G126" s="14">
        <v>9.0579448214285723</v>
      </c>
      <c r="H126" s="14">
        <v>8.3380710714285691</v>
      </c>
    </row>
    <row r="127" spans="1:8">
      <c r="A127" s="66" t="s">
        <v>67</v>
      </c>
      <c r="B127" s="71">
        <v>2007</v>
      </c>
      <c r="C127" s="66" t="s">
        <v>225</v>
      </c>
      <c r="D127" s="88" t="s">
        <v>251</v>
      </c>
      <c r="E127" s="88" t="s">
        <v>246</v>
      </c>
      <c r="F127" s="14">
        <v>12.269705255102101</v>
      </c>
      <c r="G127" s="14">
        <v>9.4387665816326916</v>
      </c>
      <c r="H127" s="14">
        <v>8.6957282653062133</v>
      </c>
    </row>
    <row r="128" spans="1:8">
      <c r="A128" s="66" t="s">
        <v>67</v>
      </c>
      <c r="B128" s="71">
        <v>2009</v>
      </c>
      <c r="C128" s="66" t="s">
        <v>225</v>
      </c>
      <c r="D128" s="88" t="s">
        <v>251</v>
      </c>
      <c r="E128" s="88" t="s">
        <v>246</v>
      </c>
      <c r="F128" s="14">
        <v>11.952573167903591</v>
      </c>
      <c r="G128" s="14">
        <v>10.092179063079778</v>
      </c>
      <c r="H128" s="14">
        <v>9.5214612894248809</v>
      </c>
    </row>
    <row r="129" spans="1:8">
      <c r="A129" s="66" t="s">
        <v>67</v>
      </c>
      <c r="B129" s="71">
        <v>2011</v>
      </c>
      <c r="C129" s="66" t="s">
        <v>225</v>
      </c>
      <c r="D129" s="88" t="s">
        <v>251</v>
      </c>
      <c r="E129" s="88" t="s">
        <v>246</v>
      </c>
      <c r="F129" s="14">
        <v>11.601566294990729</v>
      </c>
      <c r="G129" s="14">
        <v>10.609844473098281</v>
      </c>
      <c r="H129" s="14">
        <v>10.431483027829382</v>
      </c>
    </row>
    <row r="130" spans="1:8">
      <c r="A130" s="66" t="s">
        <v>67</v>
      </c>
      <c r="B130" s="71">
        <v>2012</v>
      </c>
      <c r="C130" s="66" t="s">
        <v>225</v>
      </c>
      <c r="D130" s="88" t="s">
        <v>251</v>
      </c>
      <c r="E130" s="88" t="s">
        <v>246</v>
      </c>
      <c r="F130" s="14">
        <v>11.552704516697588</v>
      </c>
      <c r="G130" s="14">
        <v>11.099624269944316</v>
      </c>
      <c r="H130" s="14">
        <v>10.905997289888729</v>
      </c>
    </row>
    <row r="131" spans="1:8">
      <c r="A131" s="66" t="s">
        <v>67</v>
      </c>
      <c r="B131" s="71">
        <v>2013</v>
      </c>
      <c r="C131" s="66" t="s">
        <v>225</v>
      </c>
      <c r="D131" s="88" t="s">
        <v>251</v>
      </c>
      <c r="E131" s="88" t="s">
        <v>246</v>
      </c>
      <c r="F131" s="14">
        <v>11.52597404792823</v>
      </c>
      <c r="G131" s="14">
        <v>11.596516804885596</v>
      </c>
      <c r="H131" s="14">
        <v>11.416090123376648</v>
      </c>
    </row>
    <row r="132" spans="1:8">
      <c r="A132" s="66" t="s">
        <v>67</v>
      </c>
      <c r="B132" s="71">
        <v>2014</v>
      </c>
      <c r="C132" s="66" t="s">
        <v>225</v>
      </c>
      <c r="D132" s="88" t="s">
        <v>251</v>
      </c>
      <c r="E132" s="88" t="s">
        <v>246</v>
      </c>
      <c r="F132" s="14">
        <v>11.665892252628298</v>
      </c>
      <c r="G132" s="14">
        <v>11.692366686765626</v>
      </c>
      <c r="H132" s="14">
        <v>11.594223262987043</v>
      </c>
    </row>
    <row r="133" spans="1:8">
      <c r="A133" s="66" t="s">
        <v>67</v>
      </c>
      <c r="B133" s="71">
        <v>2015</v>
      </c>
      <c r="C133" s="66" t="s">
        <v>225</v>
      </c>
      <c r="D133" s="88" t="s">
        <v>251</v>
      </c>
      <c r="E133" s="88" t="s">
        <v>246</v>
      </c>
      <c r="F133" s="14">
        <v>11.814537314471247</v>
      </c>
      <c r="G133" s="14">
        <v>11.876310997217066</v>
      </c>
      <c r="H133" s="14">
        <v>11.704514545454543</v>
      </c>
    </row>
    <row r="134" spans="1:8">
      <c r="A134" s="66" t="s">
        <v>67</v>
      </c>
      <c r="B134" s="71">
        <v>2018</v>
      </c>
      <c r="C134" s="66" t="s">
        <v>225</v>
      </c>
      <c r="D134" s="88" t="s">
        <v>251</v>
      </c>
      <c r="E134" s="88" t="s">
        <v>246</v>
      </c>
      <c r="F134" s="14">
        <v>11.841139999999999</v>
      </c>
      <c r="G134" s="14">
        <v>11.843899285714286</v>
      </c>
      <c r="H134" s="14">
        <v>11.787632857142857</v>
      </c>
    </row>
    <row r="135" spans="1:8">
      <c r="A135" s="66" t="s">
        <v>67</v>
      </c>
      <c r="B135" s="71">
        <v>2004</v>
      </c>
      <c r="C135" s="66" t="s">
        <v>225</v>
      </c>
      <c r="D135" s="88" t="s">
        <v>251</v>
      </c>
      <c r="E135" s="88" t="s">
        <v>247</v>
      </c>
      <c r="F135" s="14">
        <v>7.9622314285714282</v>
      </c>
      <c r="G135" s="14">
        <v>8.051615714285715</v>
      </c>
      <c r="H135" s="14">
        <v>7.9374828571428564</v>
      </c>
    </row>
    <row r="136" spans="1:8">
      <c r="A136" s="66" t="s">
        <v>67</v>
      </c>
      <c r="B136" s="71">
        <v>2005</v>
      </c>
      <c r="C136" s="66" t="s">
        <v>225</v>
      </c>
      <c r="D136" s="88" t="s">
        <v>251</v>
      </c>
      <c r="E136" s="88" t="s">
        <v>247</v>
      </c>
      <c r="F136" s="14">
        <v>7.9622314285714291</v>
      </c>
      <c r="G136" s="14">
        <v>8.0516157142857132</v>
      </c>
      <c r="H136" s="14">
        <v>7.9374828571428582</v>
      </c>
    </row>
    <row r="137" spans="1:8">
      <c r="A137" s="66" t="s">
        <v>67</v>
      </c>
      <c r="B137" s="71">
        <v>2006</v>
      </c>
      <c r="C137" s="66" t="s">
        <v>225</v>
      </c>
      <c r="D137" s="88" t="s">
        <v>251</v>
      </c>
      <c r="E137" s="88" t="s">
        <v>247</v>
      </c>
      <c r="F137" s="14">
        <v>7.9762041071428564</v>
      </c>
      <c r="G137" s="14">
        <v>8.0516780357142856</v>
      </c>
      <c r="H137" s="14">
        <v>7.9662982142857128</v>
      </c>
    </row>
    <row r="138" spans="1:8">
      <c r="A138" s="66" t="s">
        <v>67</v>
      </c>
      <c r="B138" s="71">
        <v>2007</v>
      </c>
      <c r="C138" s="66" t="s">
        <v>225</v>
      </c>
      <c r="D138" s="88" t="s">
        <v>251</v>
      </c>
      <c r="E138" s="88" t="s">
        <v>247</v>
      </c>
      <c r="F138" s="14">
        <v>7.9337753571428626</v>
      </c>
      <c r="G138" s="14">
        <v>8.0399529081632615</v>
      </c>
      <c r="H138" s="14">
        <v>7.8974824489796118</v>
      </c>
    </row>
    <row r="139" spans="1:8">
      <c r="A139" s="66" t="s">
        <v>67</v>
      </c>
      <c r="B139" s="71">
        <v>2009</v>
      </c>
      <c r="C139" s="66" t="s">
        <v>225</v>
      </c>
      <c r="D139" s="88" t="s">
        <v>251</v>
      </c>
      <c r="E139" s="88" t="s">
        <v>247</v>
      </c>
      <c r="F139" s="14">
        <v>7.6355129220779094</v>
      </c>
      <c r="G139" s="14">
        <v>7.8600091141001993</v>
      </c>
      <c r="H139" s="14">
        <v>7.5050721196660382</v>
      </c>
    </row>
    <row r="140" spans="1:8">
      <c r="A140" s="66" t="s">
        <v>67</v>
      </c>
      <c r="B140" s="71">
        <v>2011</v>
      </c>
      <c r="C140" s="66" t="s">
        <v>225</v>
      </c>
      <c r="D140" s="88" t="s">
        <v>251</v>
      </c>
      <c r="E140" s="88" t="s">
        <v>247</v>
      </c>
      <c r="F140" s="14">
        <v>7.3850871298701302</v>
      </c>
      <c r="G140" s="14">
        <v>7.7465592486085262</v>
      </c>
      <c r="H140" s="14">
        <v>7.1380896474953985</v>
      </c>
    </row>
    <row r="141" spans="1:8">
      <c r="A141" s="66" t="s">
        <v>67</v>
      </c>
      <c r="B141" s="71">
        <v>2012</v>
      </c>
      <c r="C141" s="66" t="s">
        <v>225</v>
      </c>
      <c r="D141" s="88" t="s">
        <v>251</v>
      </c>
      <c r="E141" s="88" t="s">
        <v>247</v>
      </c>
      <c r="F141" s="14">
        <v>7.5091277541743979</v>
      </c>
      <c r="G141" s="14">
        <v>7.9301478107606771</v>
      </c>
      <c r="H141" s="14">
        <v>7.2024722124304414</v>
      </c>
    </row>
    <row r="142" spans="1:8">
      <c r="A142" s="66" t="s">
        <v>67</v>
      </c>
      <c r="B142" s="71">
        <v>2013</v>
      </c>
      <c r="C142" s="66" t="s">
        <v>225</v>
      </c>
      <c r="D142" s="88" t="s">
        <v>251</v>
      </c>
      <c r="E142" s="88" t="s">
        <v>247</v>
      </c>
      <c r="F142" s="14">
        <v>7.6627430213358183</v>
      </c>
      <c r="G142" s="14">
        <v>8.1529116110080384</v>
      </c>
      <c r="H142" s="14">
        <v>7.2874441821274027</v>
      </c>
    </row>
    <row r="143" spans="1:8">
      <c r="A143" s="66" t="s">
        <v>67</v>
      </c>
      <c r="B143" s="71">
        <v>2014</v>
      </c>
      <c r="C143" s="66" t="s">
        <v>225</v>
      </c>
      <c r="D143" s="88" t="s">
        <v>251</v>
      </c>
      <c r="E143" s="88" t="s">
        <v>247</v>
      </c>
      <c r="F143" s="14">
        <v>7.8727597170686394</v>
      </c>
      <c r="G143" s="14">
        <v>8.3874628602349954</v>
      </c>
      <c r="H143" s="14">
        <v>7.4700472742733384</v>
      </c>
    </row>
    <row r="144" spans="1:8">
      <c r="A144" s="66" t="s">
        <v>67</v>
      </c>
      <c r="B144" s="71">
        <v>2015</v>
      </c>
      <c r="C144" s="66" t="s">
        <v>225</v>
      </c>
      <c r="D144" s="88" t="s">
        <v>251</v>
      </c>
      <c r="E144" s="88" t="s">
        <v>247</v>
      </c>
      <c r="F144" s="14">
        <v>8.0448854128014737</v>
      </c>
      <c r="G144" s="14">
        <v>8.588704823747678</v>
      </c>
      <c r="H144" s="14">
        <v>7.6111210807050114</v>
      </c>
    </row>
    <row r="145" spans="1:8">
      <c r="A145" s="66" t="s">
        <v>67</v>
      </c>
      <c r="B145" s="71">
        <v>2018</v>
      </c>
      <c r="C145" s="66" t="s">
        <v>225</v>
      </c>
      <c r="D145" s="88" t="s">
        <v>251</v>
      </c>
      <c r="E145" s="88" t="s">
        <v>247</v>
      </c>
      <c r="F145" s="14">
        <v>8.2051057142857129</v>
      </c>
      <c r="G145" s="14">
        <v>8.7517307142857153</v>
      </c>
      <c r="H145" s="14">
        <v>7.7667778571428565</v>
      </c>
    </row>
    <row r="146" spans="1:8">
      <c r="A146" s="66" t="s">
        <v>67</v>
      </c>
      <c r="B146" s="71">
        <v>2004</v>
      </c>
      <c r="C146" s="66" t="s">
        <v>225</v>
      </c>
      <c r="D146" s="88" t="s">
        <v>251</v>
      </c>
      <c r="E146" s="88" t="s">
        <v>248</v>
      </c>
      <c r="F146" s="14">
        <v>4.4442507142857135</v>
      </c>
      <c r="G146" s="14">
        <v>4.2578928571428571</v>
      </c>
      <c r="H146" s="14">
        <v>4.6484228571428563</v>
      </c>
    </row>
    <row r="147" spans="1:8">
      <c r="A147" s="66" t="s">
        <v>67</v>
      </c>
      <c r="B147" s="71">
        <v>2005</v>
      </c>
      <c r="C147" s="66" t="s">
        <v>225</v>
      </c>
      <c r="D147" s="88" t="s">
        <v>251</v>
      </c>
      <c r="E147" s="88" t="s">
        <v>248</v>
      </c>
      <c r="F147" s="14">
        <v>4.4442507142857135</v>
      </c>
      <c r="G147" s="14">
        <v>4.2578928571428571</v>
      </c>
      <c r="H147" s="14">
        <v>4.6484228571428572</v>
      </c>
    </row>
    <row r="148" spans="1:8">
      <c r="A148" s="66" t="s">
        <v>67</v>
      </c>
      <c r="B148" s="71">
        <v>2006</v>
      </c>
      <c r="C148" s="66" t="s">
        <v>225</v>
      </c>
      <c r="D148" s="88" t="s">
        <v>251</v>
      </c>
      <c r="E148" s="88" t="s">
        <v>248</v>
      </c>
      <c r="F148" s="14">
        <v>4.4339432142857138</v>
      </c>
      <c r="G148" s="14">
        <v>4.243684285714286</v>
      </c>
      <c r="H148" s="14">
        <v>4.6418000000000008</v>
      </c>
    </row>
    <row r="149" spans="1:8">
      <c r="A149" s="66" t="s">
        <v>67</v>
      </c>
      <c r="B149" s="71">
        <v>2007</v>
      </c>
      <c r="C149" s="66" t="s">
        <v>225</v>
      </c>
      <c r="D149" s="88" t="s">
        <v>251</v>
      </c>
      <c r="E149" s="88" t="s">
        <v>248</v>
      </c>
      <c r="F149" s="14">
        <v>4.4541604081632622</v>
      </c>
      <c r="G149" s="14">
        <v>4.2616299999999958</v>
      </c>
      <c r="H149" s="14">
        <v>4.6626924489795902</v>
      </c>
    </row>
    <row r="150" spans="1:8">
      <c r="A150" s="66" t="s">
        <v>67</v>
      </c>
      <c r="B150" s="71">
        <v>2009</v>
      </c>
      <c r="C150" s="66" t="s">
        <v>225</v>
      </c>
      <c r="D150" s="88" t="s">
        <v>251</v>
      </c>
      <c r="E150" s="88" t="s">
        <v>248</v>
      </c>
      <c r="F150" s="14">
        <v>4.6243933024118702</v>
      </c>
      <c r="G150" s="14">
        <v>4.4608947077922032</v>
      </c>
      <c r="H150" s="14">
        <v>4.7972300417439664</v>
      </c>
    </row>
    <row r="151" spans="1:8">
      <c r="A151" s="66" t="s">
        <v>67</v>
      </c>
      <c r="B151" s="71">
        <v>2011</v>
      </c>
      <c r="C151" s="66" t="s">
        <v>225</v>
      </c>
      <c r="D151" s="88" t="s">
        <v>251</v>
      </c>
      <c r="E151" s="88" t="s">
        <v>248</v>
      </c>
      <c r="F151" s="14">
        <v>4.8536917680890621</v>
      </c>
      <c r="G151" s="14">
        <v>4.717112558441551</v>
      </c>
      <c r="H151" s="14">
        <v>4.9929913487940558</v>
      </c>
    </row>
    <row r="152" spans="1:8">
      <c r="A152" s="66" t="s">
        <v>67</v>
      </c>
      <c r="B152" s="71">
        <v>2012</v>
      </c>
      <c r="C152" s="66" t="s">
        <v>225</v>
      </c>
      <c r="D152" s="88" t="s">
        <v>251</v>
      </c>
      <c r="E152" s="88" t="s">
        <v>248</v>
      </c>
      <c r="F152" s="14">
        <v>4.8961716897031646</v>
      </c>
      <c r="G152" s="14">
        <v>4.7724042898886854</v>
      </c>
      <c r="H152" s="14">
        <v>5.0207624104823578</v>
      </c>
    </row>
    <row r="153" spans="1:8">
      <c r="A153" s="66" t="s">
        <v>67</v>
      </c>
      <c r="B153" s="71">
        <v>2013</v>
      </c>
      <c r="C153" s="66" t="s">
        <v>225</v>
      </c>
      <c r="D153" s="88" t="s">
        <v>251</v>
      </c>
      <c r="E153" s="88" t="s">
        <v>248</v>
      </c>
      <c r="F153" s="14">
        <v>4.9796856589363045</v>
      </c>
      <c r="G153" s="14">
        <v>4.8621704260977134</v>
      </c>
      <c r="H153" s="14">
        <v>5.096397162646868</v>
      </c>
    </row>
    <row r="154" spans="1:8">
      <c r="A154" s="66" t="s">
        <v>67</v>
      </c>
      <c r="B154" s="71">
        <v>2014</v>
      </c>
      <c r="C154" s="66" t="s">
        <v>225</v>
      </c>
      <c r="D154" s="88" t="s">
        <v>251</v>
      </c>
      <c r="E154" s="88" t="s">
        <v>248</v>
      </c>
      <c r="F154" s="14">
        <v>5.0326749342918964</v>
      </c>
      <c r="G154" s="14">
        <v>4.9197822765924588</v>
      </c>
      <c r="H154" s="14">
        <v>5.1445166086889174</v>
      </c>
    </row>
    <row r="155" spans="1:8">
      <c r="A155" s="66" t="s">
        <v>67</v>
      </c>
      <c r="B155" s="71">
        <v>2015</v>
      </c>
      <c r="C155" s="66" t="s">
        <v>225</v>
      </c>
      <c r="D155" s="88" t="s">
        <v>251</v>
      </c>
      <c r="E155" s="88" t="s">
        <v>248</v>
      </c>
      <c r="F155" s="14">
        <v>5.0664389239332097</v>
      </c>
      <c r="G155" s="14">
        <v>4.9631261270871976</v>
      </c>
      <c r="H155" s="14">
        <v>5.1686470547309771</v>
      </c>
    </row>
    <row r="156" spans="1:8">
      <c r="A156" s="66" t="s">
        <v>67</v>
      </c>
      <c r="B156" s="71">
        <v>2018</v>
      </c>
      <c r="C156" s="66" t="s">
        <v>225</v>
      </c>
      <c r="D156" s="88" t="s">
        <v>251</v>
      </c>
      <c r="E156" s="88" t="s">
        <v>248</v>
      </c>
      <c r="F156" s="14">
        <v>5.2272214285714282</v>
      </c>
      <c r="G156" s="14">
        <v>5.1034707142857139</v>
      </c>
      <c r="H156" s="14">
        <v>5.3505185714285703</v>
      </c>
    </row>
    <row r="157" spans="1:8">
      <c r="A157" s="66" t="s">
        <v>67</v>
      </c>
      <c r="B157" s="71">
        <v>2004</v>
      </c>
      <c r="C157" s="66" t="s">
        <v>225</v>
      </c>
      <c r="D157" s="88" t="s">
        <v>251</v>
      </c>
      <c r="E157" s="88" t="s">
        <v>249</v>
      </c>
      <c r="F157" s="14">
        <v>2.8542371428571438</v>
      </c>
      <c r="G157" s="14">
        <v>2.8406057142857146</v>
      </c>
      <c r="H157" s="14">
        <v>2.860502857142857</v>
      </c>
    </row>
    <row r="158" spans="1:8">
      <c r="A158" s="66" t="s">
        <v>67</v>
      </c>
      <c r="B158" s="71">
        <v>2005</v>
      </c>
      <c r="C158" s="66" t="s">
        <v>225</v>
      </c>
      <c r="D158" s="88" t="s">
        <v>251</v>
      </c>
      <c r="E158" s="88" t="s">
        <v>249</v>
      </c>
      <c r="F158" s="14">
        <v>2.8542371428571434</v>
      </c>
      <c r="G158" s="14">
        <v>2.8406057142857142</v>
      </c>
      <c r="H158" s="14">
        <v>2.8605028571428575</v>
      </c>
    </row>
    <row r="159" spans="1:8">
      <c r="A159" s="66" t="s">
        <v>67</v>
      </c>
      <c r="B159" s="71">
        <v>2006</v>
      </c>
      <c r="C159" s="66" t="s">
        <v>225</v>
      </c>
      <c r="D159" s="88" t="s">
        <v>251</v>
      </c>
      <c r="E159" s="88" t="s">
        <v>249</v>
      </c>
      <c r="F159" s="14">
        <v>2.8513317857142852</v>
      </c>
      <c r="G159" s="14">
        <v>2.8401746428571428</v>
      </c>
      <c r="H159" s="14">
        <v>2.8552332142857124</v>
      </c>
    </row>
    <row r="160" spans="1:8">
      <c r="A160" s="66" t="s">
        <v>67</v>
      </c>
      <c r="B160" s="71">
        <v>2007</v>
      </c>
      <c r="C160" s="66" t="s">
        <v>225</v>
      </c>
      <c r="D160" s="88" t="s">
        <v>251</v>
      </c>
      <c r="E160" s="88" t="s">
        <v>249</v>
      </c>
      <c r="F160" s="14">
        <v>2.8354411224489811</v>
      </c>
      <c r="G160" s="14">
        <v>2.8279621428571424</v>
      </c>
      <c r="H160" s="14">
        <v>2.8357787755102053</v>
      </c>
    </row>
    <row r="161" spans="1:8">
      <c r="A161" s="66" t="s">
        <v>67</v>
      </c>
      <c r="B161" s="71">
        <v>2009</v>
      </c>
      <c r="C161" s="66" t="s">
        <v>225</v>
      </c>
      <c r="D161" s="88" t="s">
        <v>251</v>
      </c>
      <c r="E161" s="88" t="s">
        <v>249</v>
      </c>
      <c r="F161" s="14">
        <v>2.7852174907235638</v>
      </c>
      <c r="G161" s="14">
        <v>2.7600601623376604</v>
      </c>
      <c r="H161" s="14">
        <v>2.8063695408163243</v>
      </c>
    </row>
    <row r="162" spans="1:8">
      <c r="A162" s="66" t="s">
        <v>67</v>
      </c>
      <c r="B162" s="71">
        <v>2011</v>
      </c>
      <c r="C162" s="66" t="s">
        <v>225</v>
      </c>
      <c r="D162" s="88" t="s">
        <v>251</v>
      </c>
      <c r="E162" s="88" t="s">
        <v>249</v>
      </c>
      <c r="F162" s="14">
        <v>2.7614817161410019</v>
      </c>
      <c r="G162" s="14">
        <v>2.71610318181818</v>
      </c>
      <c r="H162" s="14">
        <v>2.8060933061224453</v>
      </c>
    </row>
    <row r="163" spans="1:8">
      <c r="A163" s="66" t="s">
        <v>67</v>
      </c>
      <c r="B163" s="71">
        <v>2012</v>
      </c>
      <c r="C163" s="66" t="s">
        <v>225</v>
      </c>
      <c r="D163" s="88" t="s">
        <v>251</v>
      </c>
      <c r="E163" s="88" t="s">
        <v>249</v>
      </c>
      <c r="F163" s="14">
        <v>2.7748539308905427</v>
      </c>
      <c r="G163" s="14">
        <v>2.6870061456400776</v>
      </c>
      <c r="H163" s="14">
        <v>2.8688705714285772</v>
      </c>
    </row>
    <row r="164" spans="1:8">
      <c r="A164" s="66" t="s">
        <v>67</v>
      </c>
      <c r="B164" s="71">
        <v>2013</v>
      </c>
      <c r="C164" s="66" t="s">
        <v>225</v>
      </c>
      <c r="D164" s="88" t="s">
        <v>251</v>
      </c>
      <c r="E164" s="88" t="s">
        <v>249</v>
      </c>
      <c r="F164" s="14">
        <v>2.8142728123067369</v>
      </c>
      <c r="G164" s="14">
        <v>2.6996725618429323</v>
      </c>
      <c r="H164" s="14">
        <v>2.9431320034013497</v>
      </c>
    </row>
    <row r="165" spans="1:8">
      <c r="A165" s="66" t="s">
        <v>67</v>
      </c>
      <c r="B165" s="71">
        <v>2014</v>
      </c>
      <c r="C165" s="66" t="s">
        <v>225</v>
      </c>
      <c r="D165" s="88" t="s">
        <v>251</v>
      </c>
      <c r="E165" s="88" t="s">
        <v>249</v>
      </c>
      <c r="F165" s="14">
        <v>2.8666769998453847</v>
      </c>
      <c r="G165" s="14">
        <v>2.7241204066172009</v>
      </c>
      <c r="H165" s="14">
        <v>3.0315782312925177</v>
      </c>
    </row>
    <row r="166" spans="1:8">
      <c r="A166" s="66" t="s">
        <v>67</v>
      </c>
      <c r="B166" s="71">
        <v>2015</v>
      </c>
      <c r="C166" s="66" t="s">
        <v>225</v>
      </c>
      <c r="D166" s="88" t="s">
        <v>251</v>
      </c>
      <c r="E166" s="88" t="s">
        <v>249</v>
      </c>
      <c r="F166" s="14">
        <v>2.9087426159554748</v>
      </c>
      <c r="G166" s="14">
        <v>2.7370268228200412</v>
      </c>
      <c r="H166" s="14">
        <v>3.1107276020408192</v>
      </c>
    </row>
    <row r="167" spans="1:8">
      <c r="A167" s="66" t="s">
        <v>67</v>
      </c>
      <c r="B167" s="71">
        <v>2018</v>
      </c>
      <c r="C167" s="66" t="s">
        <v>225</v>
      </c>
      <c r="D167" s="88" t="s">
        <v>251</v>
      </c>
      <c r="E167" s="88" t="s">
        <v>249</v>
      </c>
      <c r="F167" s="14">
        <v>3.0403614285714289</v>
      </c>
      <c r="G167" s="14">
        <v>2.9289507142857141</v>
      </c>
      <c r="H167" s="14">
        <v>3.1860771428571426</v>
      </c>
    </row>
    <row r="168" spans="1:8">
      <c r="A168" s="66" t="s">
        <v>67</v>
      </c>
      <c r="B168" s="71">
        <v>2004</v>
      </c>
      <c r="C168" s="66" t="s">
        <v>224</v>
      </c>
      <c r="D168" s="88" t="s">
        <v>244</v>
      </c>
      <c r="E168" s="88" t="s">
        <v>245</v>
      </c>
      <c r="F168" s="14">
        <v>27.59839642857143</v>
      </c>
      <c r="G168" s="14">
        <v>32.367957142857144</v>
      </c>
      <c r="H168" s="14">
        <v>23.010293571428573</v>
      </c>
    </row>
    <row r="169" spans="1:8">
      <c r="A169" s="66" t="s">
        <v>67</v>
      </c>
      <c r="B169" s="71">
        <v>2005</v>
      </c>
      <c r="C169" s="66" t="s">
        <v>224</v>
      </c>
      <c r="D169" s="88" t="s">
        <v>244</v>
      </c>
      <c r="E169" s="88" t="s">
        <v>245</v>
      </c>
      <c r="F169" s="14">
        <v>27.598396428571426</v>
      </c>
      <c r="G169" s="14">
        <v>32.367957142857144</v>
      </c>
      <c r="H169" s="14">
        <v>23.010293571428573</v>
      </c>
    </row>
    <row r="170" spans="1:8">
      <c r="A170" s="66" t="s">
        <v>67</v>
      </c>
      <c r="B170" s="71">
        <v>2006</v>
      </c>
      <c r="C170" s="66" t="s">
        <v>224</v>
      </c>
      <c r="D170" s="88" t="s">
        <v>244</v>
      </c>
      <c r="E170" s="88" t="s">
        <v>245</v>
      </c>
      <c r="F170" s="14">
        <v>27.52627</v>
      </c>
      <c r="G170" s="14">
        <v>32.238089285714302</v>
      </c>
      <c r="H170" s="14">
        <v>22.992406607142851</v>
      </c>
    </row>
    <row r="171" spans="1:8">
      <c r="A171" s="66" t="s">
        <v>67</v>
      </c>
      <c r="B171" s="71">
        <v>2007</v>
      </c>
      <c r="C171" s="66" t="s">
        <v>224</v>
      </c>
      <c r="D171" s="88" t="s">
        <v>244</v>
      </c>
      <c r="E171" s="88" t="s">
        <v>245</v>
      </c>
      <c r="F171" s="14">
        <v>27.333069081632626</v>
      </c>
      <c r="G171" s="14">
        <v>31.980375102040828</v>
      </c>
      <c r="H171" s="14">
        <v>22.856412295918386</v>
      </c>
    </row>
    <row r="172" spans="1:8">
      <c r="A172" s="66" t="s">
        <v>67</v>
      </c>
      <c r="B172" s="71">
        <v>2009</v>
      </c>
      <c r="C172" s="66" t="s">
        <v>224</v>
      </c>
      <c r="D172" s="88" t="s">
        <v>244</v>
      </c>
      <c r="E172" s="88" t="s">
        <v>245</v>
      </c>
      <c r="F172" s="14">
        <v>26.807382147495385</v>
      </c>
      <c r="G172" s="14">
        <v>31.352374169758775</v>
      </c>
      <c r="H172" s="14">
        <v>22.416194192949945</v>
      </c>
    </row>
    <row r="173" spans="1:8">
      <c r="A173" s="66" t="s">
        <v>67</v>
      </c>
      <c r="B173" s="71">
        <v>2011</v>
      </c>
      <c r="C173" s="66" t="s">
        <v>224</v>
      </c>
      <c r="D173" s="88" t="s">
        <v>244</v>
      </c>
      <c r="E173" s="88" t="s">
        <v>245</v>
      </c>
      <c r="F173" s="14">
        <v>26.061505213358057</v>
      </c>
      <c r="G173" s="14">
        <v>30.55674352319112</v>
      </c>
      <c r="H173" s="14">
        <v>21.700906304267157</v>
      </c>
    </row>
    <row r="174" spans="1:8">
      <c r="A174" s="66" t="s">
        <v>67</v>
      </c>
      <c r="B174" s="71">
        <v>2012</v>
      </c>
      <c r="C174" s="66" t="s">
        <v>224</v>
      </c>
      <c r="D174" s="88" t="s">
        <v>244</v>
      </c>
      <c r="E174" s="88" t="s">
        <v>245</v>
      </c>
      <c r="F174" s="14">
        <v>25.796298889146545</v>
      </c>
      <c r="G174" s="14">
        <v>30.275696210111299</v>
      </c>
      <c r="H174" s="14">
        <v>21.444070701762474</v>
      </c>
    </row>
    <row r="175" spans="1:8">
      <c r="A175" s="66" t="s">
        <v>67</v>
      </c>
      <c r="B175" s="71">
        <v>2013</v>
      </c>
      <c r="C175" s="66" t="s">
        <v>224</v>
      </c>
      <c r="D175" s="88" t="s">
        <v>244</v>
      </c>
      <c r="E175" s="88" t="s">
        <v>245</v>
      </c>
      <c r="F175" s="14">
        <v>25.492750303030231</v>
      </c>
      <c r="G175" s="14">
        <v>29.94376663512687</v>
      </c>
      <c r="H175" s="14">
        <v>21.167374861162646</v>
      </c>
    </row>
    <row r="176" spans="1:8">
      <c r="A176" s="66" t="s">
        <v>67</v>
      </c>
      <c r="B176" s="71">
        <v>2014</v>
      </c>
      <c r="C176" s="66" t="s">
        <v>224</v>
      </c>
      <c r="D176" s="88" t="s">
        <v>244</v>
      </c>
      <c r="E176" s="88" t="s">
        <v>245</v>
      </c>
      <c r="F176" s="14">
        <v>25.310276206709968</v>
      </c>
      <c r="G176" s="14">
        <v>29.739683386672851</v>
      </c>
      <c r="H176" s="14">
        <v>21.00878636750155</v>
      </c>
    </row>
    <row r="177" spans="1:8">
      <c r="A177" s="66" t="s">
        <v>67</v>
      </c>
      <c r="B177" s="71">
        <v>2015</v>
      </c>
      <c r="C177" s="66" t="s">
        <v>224</v>
      </c>
      <c r="D177" s="88" t="s">
        <v>244</v>
      </c>
      <c r="E177" s="88" t="s">
        <v>245</v>
      </c>
      <c r="F177" s="14">
        <v>25.310023538961019</v>
      </c>
      <c r="G177" s="14">
        <v>29.749282852504646</v>
      </c>
      <c r="H177" s="14">
        <v>21.005619730983302</v>
      </c>
    </row>
    <row r="178" spans="1:8">
      <c r="A178" s="66" t="s">
        <v>67</v>
      </c>
      <c r="B178" s="71">
        <v>2018</v>
      </c>
      <c r="C178" s="66" t="s">
        <v>224</v>
      </c>
      <c r="D178" s="88" t="s">
        <v>244</v>
      </c>
      <c r="E178" s="88" t="s">
        <v>245</v>
      </c>
      <c r="F178" s="14">
        <v>24.993682142857143</v>
      </c>
      <c r="G178" s="14">
        <v>29.235147142857141</v>
      </c>
      <c r="H178" s="14">
        <v>20.928336428571431</v>
      </c>
    </row>
    <row r="179" spans="1:8">
      <c r="A179" s="66" t="s">
        <v>67</v>
      </c>
      <c r="B179" s="71">
        <v>2004</v>
      </c>
      <c r="C179" s="66" t="s">
        <v>224</v>
      </c>
      <c r="D179" s="88" t="s">
        <v>244</v>
      </c>
      <c r="E179" s="88" t="s">
        <v>246</v>
      </c>
      <c r="F179" s="14">
        <v>20.216709999999999</v>
      </c>
      <c r="G179" s="14">
        <v>23.317764285714286</v>
      </c>
      <c r="H179" s="14">
        <v>17.028795000000002</v>
      </c>
    </row>
    <row r="180" spans="1:8">
      <c r="A180" s="66" t="s">
        <v>67</v>
      </c>
      <c r="B180" s="71">
        <v>2005</v>
      </c>
      <c r="C180" s="66" t="s">
        <v>224</v>
      </c>
      <c r="D180" s="88" t="s">
        <v>244</v>
      </c>
      <c r="E180" s="88" t="s">
        <v>246</v>
      </c>
      <c r="F180" s="14">
        <v>20.216710000000003</v>
      </c>
      <c r="G180" s="14">
        <v>23.317764285714283</v>
      </c>
      <c r="H180" s="14">
        <v>17.028795000000002</v>
      </c>
    </row>
    <row r="181" spans="1:8">
      <c r="A181" s="66" t="s">
        <v>67</v>
      </c>
      <c r="B181" s="71">
        <v>2006</v>
      </c>
      <c r="C181" s="66" t="s">
        <v>224</v>
      </c>
      <c r="D181" s="88" t="s">
        <v>244</v>
      </c>
      <c r="E181" s="88" t="s">
        <v>246</v>
      </c>
      <c r="F181" s="14">
        <v>20.200250535714293</v>
      </c>
      <c r="G181" s="14">
        <v>23.229107321428575</v>
      </c>
      <c r="H181" s="14">
        <v>17.078648928571415</v>
      </c>
    </row>
    <row r="182" spans="1:8">
      <c r="A182" s="66" t="s">
        <v>67</v>
      </c>
      <c r="B182" s="71">
        <v>2007</v>
      </c>
      <c r="C182" s="66" t="s">
        <v>224</v>
      </c>
      <c r="D182" s="88" t="s">
        <v>244</v>
      </c>
      <c r="E182" s="88" t="s">
        <v>246</v>
      </c>
      <c r="F182" s="14">
        <v>20.009820969387754</v>
      </c>
      <c r="G182" s="14">
        <v>22.959830663265318</v>
      </c>
      <c r="H182" s="14">
        <v>16.973579081632632</v>
      </c>
    </row>
    <row r="183" spans="1:8">
      <c r="A183" s="66" t="s">
        <v>67</v>
      </c>
      <c r="B183" s="71">
        <v>2009</v>
      </c>
      <c r="C183" s="66" t="s">
        <v>224</v>
      </c>
      <c r="D183" s="88" t="s">
        <v>244</v>
      </c>
      <c r="E183" s="88" t="s">
        <v>246</v>
      </c>
      <c r="F183" s="14">
        <v>19.21106164192949</v>
      </c>
      <c r="G183" s="14">
        <v>22.123220236549177</v>
      </c>
      <c r="H183" s="14">
        <v>16.212263835807054</v>
      </c>
    </row>
    <row r="184" spans="1:8">
      <c r="A184" s="66" t="s">
        <v>67</v>
      </c>
      <c r="B184" s="71">
        <v>2011</v>
      </c>
      <c r="C184" s="66" t="s">
        <v>224</v>
      </c>
      <c r="D184" s="88" t="s">
        <v>244</v>
      </c>
      <c r="E184" s="88" t="s">
        <v>246</v>
      </c>
      <c r="F184" s="14">
        <v>18.361143243042697</v>
      </c>
      <c r="G184" s="14">
        <v>21.429800595547302</v>
      </c>
      <c r="H184" s="14">
        <v>15.222757875695718</v>
      </c>
    </row>
    <row r="185" spans="1:8">
      <c r="A185" s="66" t="s">
        <v>67</v>
      </c>
      <c r="B185" s="71">
        <v>2012</v>
      </c>
      <c r="C185" s="66" t="s">
        <v>224</v>
      </c>
      <c r="D185" s="88" t="s">
        <v>244</v>
      </c>
      <c r="E185" s="88" t="s">
        <v>246</v>
      </c>
      <c r="F185" s="14">
        <v>18.134966849721742</v>
      </c>
      <c r="G185" s="14">
        <v>21.154049346474924</v>
      </c>
      <c r="H185" s="14">
        <v>15.052411247680899</v>
      </c>
    </row>
    <row r="186" spans="1:8">
      <c r="A186" s="66" t="s">
        <v>67</v>
      </c>
      <c r="B186" s="71">
        <v>2013</v>
      </c>
      <c r="C186" s="66" t="s">
        <v>224</v>
      </c>
      <c r="D186" s="88" t="s">
        <v>244</v>
      </c>
      <c r="E186" s="88" t="s">
        <v>246</v>
      </c>
      <c r="F186" s="14">
        <v>17.897206051638872</v>
      </c>
      <c r="G186" s="14">
        <v>20.834533216450176</v>
      </c>
      <c r="H186" s="14">
        <v>14.90214997680893</v>
      </c>
    </row>
    <row r="187" spans="1:8">
      <c r="A187" s="66" t="s">
        <v>67</v>
      </c>
      <c r="B187" s="71">
        <v>2014</v>
      </c>
      <c r="C187" s="66" t="s">
        <v>224</v>
      </c>
      <c r="D187" s="88" t="s">
        <v>244</v>
      </c>
      <c r="E187" s="88" t="s">
        <v>246</v>
      </c>
      <c r="F187" s="14">
        <v>17.833415355596824</v>
      </c>
      <c r="G187" s="14">
        <v>20.695636780302994</v>
      </c>
      <c r="H187" s="14">
        <v>14.906812481447115</v>
      </c>
    </row>
    <row r="188" spans="1:8">
      <c r="A188" s="66" t="s">
        <v>67</v>
      </c>
      <c r="B188" s="71">
        <v>2015</v>
      </c>
      <c r="C188" s="66" t="s">
        <v>224</v>
      </c>
      <c r="D188" s="88" t="s">
        <v>244</v>
      </c>
      <c r="E188" s="88" t="s">
        <v>246</v>
      </c>
      <c r="F188" s="14">
        <v>17.811663659554753</v>
      </c>
      <c r="G188" s="14">
        <v>20.573801915584379</v>
      </c>
      <c r="H188" s="14">
        <v>14.975716414656763</v>
      </c>
    </row>
    <row r="189" spans="1:8">
      <c r="A189" s="66" t="s">
        <v>67</v>
      </c>
      <c r="B189" s="71">
        <v>2018</v>
      </c>
      <c r="C189" s="66" t="s">
        <v>224</v>
      </c>
      <c r="D189" s="88" t="s">
        <v>244</v>
      </c>
      <c r="E189" s="88" t="s">
        <v>246</v>
      </c>
      <c r="F189" s="14">
        <v>17.552214285714285</v>
      </c>
      <c r="G189" s="14">
        <v>20.110101428571426</v>
      </c>
      <c r="H189" s="14">
        <v>14.884947142857142</v>
      </c>
    </row>
    <row r="190" spans="1:8">
      <c r="A190" s="66" t="s">
        <v>67</v>
      </c>
      <c r="B190" s="71">
        <v>2004</v>
      </c>
      <c r="C190" s="66" t="s">
        <v>224</v>
      </c>
      <c r="D190" s="88" t="s">
        <v>244</v>
      </c>
      <c r="E190" s="88" t="s">
        <v>247</v>
      </c>
      <c r="F190" s="14">
        <v>14.392870000000002</v>
      </c>
      <c r="G190" s="14">
        <v>15.324993571428573</v>
      </c>
      <c r="H190" s="14">
        <v>13.550548571428573</v>
      </c>
    </row>
    <row r="191" spans="1:8">
      <c r="A191" s="66" t="s">
        <v>67</v>
      </c>
      <c r="B191" s="71">
        <v>2005</v>
      </c>
      <c r="C191" s="66" t="s">
        <v>224</v>
      </c>
      <c r="D191" s="88" t="s">
        <v>244</v>
      </c>
      <c r="E191" s="88" t="s">
        <v>247</v>
      </c>
      <c r="F191" s="14">
        <v>14.39287</v>
      </c>
      <c r="G191" s="14">
        <v>15.324993571428573</v>
      </c>
      <c r="H191" s="14">
        <v>13.550548571428569</v>
      </c>
    </row>
    <row r="192" spans="1:8">
      <c r="A192" s="66" t="s">
        <v>67</v>
      </c>
      <c r="B192" s="71">
        <v>2006</v>
      </c>
      <c r="C192" s="66" t="s">
        <v>224</v>
      </c>
      <c r="D192" s="88" t="s">
        <v>244</v>
      </c>
      <c r="E192" s="88" t="s">
        <v>247</v>
      </c>
      <c r="F192" s="14">
        <v>14.393392678571429</v>
      </c>
      <c r="G192" s="14">
        <v>15.283838214285717</v>
      </c>
      <c r="H192" s="14">
        <v>13.591828928571431</v>
      </c>
    </row>
    <row r="193" spans="1:8">
      <c r="A193" s="66" t="s">
        <v>67</v>
      </c>
      <c r="B193" s="71">
        <v>2007</v>
      </c>
      <c r="C193" s="66" t="s">
        <v>224</v>
      </c>
      <c r="D193" s="88" t="s">
        <v>244</v>
      </c>
      <c r="E193" s="88" t="s">
        <v>247</v>
      </c>
      <c r="F193" s="14">
        <v>14.270969744897993</v>
      </c>
      <c r="G193" s="14">
        <v>15.1278270408163</v>
      </c>
      <c r="H193" s="14">
        <v>13.502187244897955</v>
      </c>
    </row>
    <row r="194" spans="1:8">
      <c r="A194" s="66" t="s">
        <v>67</v>
      </c>
      <c r="B194" s="71">
        <v>2009</v>
      </c>
      <c r="C194" s="66" t="s">
        <v>224</v>
      </c>
      <c r="D194" s="88" t="s">
        <v>244</v>
      </c>
      <c r="E194" s="88" t="s">
        <v>247</v>
      </c>
      <c r="F194" s="14">
        <v>13.581566442486121</v>
      </c>
      <c r="G194" s="14">
        <v>14.423518460111326</v>
      </c>
      <c r="H194" s="14">
        <v>12.82279933209646</v>
      </c>
    </row>
    <row r="195" spans="1:8">
      <c r="A195" s="66" t="s">
        <v>67</v>
      </c>
      <c r="B195" s="71">
        <v>2011</v>
      </c>
      <c r="C195" s="66" t="s">
        <v>224</v>
      </c>
      <c r="D195" s="88" t="s">
        <v>244</v>
      </c>
      <c r="E195" s="88" t="s">
        <v>247</v>
      </c>
      <c r="F195" s="14">
        <v>12.879725497217107</v>
      </c>
      <c r="G195" s="14">
        <v>13.823093450834865</v>
      </c>
      <c r="H195" s="14">
        <v>12.019373276437838</v>
      </c>
    </row>
    <row r="196" spans="1:8">
      <c r="A196" s="66" t="s">
        <v>67</v>
      </c>
      <c r="B196" s="71">
        <v>2012</v>
      </c>
      <c r="C196" s="66" t="s">
        <v>224</v>
      </c>
      <c r="D196" s="88" t="s">
        <v>244</v>
      </c>
      <c r="E196" s="88" t="s">
        <v>247</v>
      </c>
      <c r="F196" s="14">
        <v>12.842778953154015</v>
      </c>
      <c r="G196" s="14">
        <v>13.733128803339525</v>
      </c>
      <c r="H196" s="14">
        <v>12.024531524118682</v>
      </c>
    </row>
    <row r="197" spans="1:8">
      <c r="A197" s="66" t="s">
        <v>67</v>
      </c>
      <c r="B197" s="71">
        <v>2013</v>
      </c>
      <c r="C197" s="66" t="s">
        <v>224</v>
      </c>
      <c r="D197" s="88" t="s">
        <v>244</v>
      </c>
      <c r="E197" s="88" t="s">
        <v>247</v>
      </c>
      <c r="F197" s="14">
        <v>12.814747647186165</v>
      </c>
      <c r="G197" s="14">
        <v>13.656589751082265</v>
      </c>
      <c r="H197" s="14">
        <v>12.034585247990064</v>
      </c>
    </row>
    <row r="198" spans="1:8">
      <c r="A198" s="66" t="s">
        <v>67</v>
      </c>
      <c r="B198" s="71">
        <v>2014</v>
      </c>
      <c r="C198" s="66" t="s">
        <v>224</v>
      </c>
      <c r="D198" s="88" t="s">
        <v>244</v>
      </c>
      <c r="E198" s="88" t="s">
        <v>247</v>
      </c>
      <c r="F198" s="14">
        <v>12.909661953463216</v>
      </c>
      <c r="G198" s="14">
        <v>13.694906515151514</v>
      </c>
      <c r="H198" s="14">
        <v>12.175561012677775</v>
      </c>
    </row>
    <row r="199" spans="1:8">
      <c r="A199" s="66" t="s">
        <v>67</v>
      </c>
      <c r="B199" s="71">
        <v>2015</v>
      </c>
      <c r="C199" s="66" t="s">
        <v>224</v>
      </c>
      <c r="D199" s="88" t="s">
        <v>244</v>
      </c>
      <c r="E199" s="88" t="s">
        <v>247</v>
      </c>
      <c r="F199" s="14">
        <v>13.010272402597398</v>
      </c>
      <c r="G199" s="14">
        <v>13.722436850649363</v>
      </c>
      <c r="H199" s="14">
        <v>12.337275491651209</v>
      </c>
    </row>
    <row r="200" spans="1:8">
      <c r="A200" s="66" t="s">
        <v>67</v>
      </c>
      <c r="B200" s="71">
        <v>2018</v>
      </c>
      <c r="C200" s="66" t="s">
        <v>224</v>
      </c>
      <c r="D200" s="88" t="s">
        <v>244</v>
      </c>
      <c r="E200" s="88" t="s">
        <v>247</v>
      </c>
      <c r="F200" s="14">
        <v>12.93206642857143</v>
      </c>
      <c r="G200" s="14">
        <v>13.562445714285715</v>
      </c>
      <c r="H200" s="14">
        <v>12.312049285714284</v>
      </c>
    </row>
    <row r="201" spans="1:8">
      <c r="A201" s="66" t="s">
        <v>67</v>
      </c>
      <c r="B201" s="71">
        <v>2004</v>
      </c>
      <c r="C201" s="66" t="s">
        <v>224</v>
      </c>
      <c r="D201" s="88" t="s">
        <v>244</v>
      </c>
      <c r="E201" s="88" t="s">
        <v>248</v>
      </c>
      <c r="F201" s="14">
        <v>10.389716428571429</v>
      </c>
      <c r="G201" s="14">
        <v>11.48174357142857</v>
      </c>
      <c r="H201" s="14">
        <v>9.2645621428571427</v>
      </c>
    </row>
    <row r="202" spans="1:8">
      <c r="A202" s="66" t="s">
        <v>67</v>
      </c>
      <c r="B202" s="71">
        <v>2005</v>
      </c>
      <c r="C202" s="66" t="s">
        <v>224</v>
      </c>
      <c r="D202" s="88" t="s">
        <v>244</v>
      </c>
      <c r="E202" s="88" t="s">
        <v>248</v>
      </c>
      <c r="F202" s="14">
        <v>10.389716428571429</v>
      </c>
      <c r="G202" s="14">
        <v>11.481743571428572</v>
      </c>
      <c r="H202" s="14">
        <v>9.2645621428571427</v>
      </c>
    </row>
    <row r="203" spans="1:8">
      <c r="A203" s="66" t="s">
        <v>67</v>
      </c>
      <c r="B203" s="71">
        <v>2006</v>
      </c>
      <c r="C203" s="66" t="s">
        <v>224</v>
      </c>
      <c r="D203" s="88" t="s">
        <v>244</v>
      </c>
      <c r="E203" s="88" t="s">
        <v>248</v>
      </c>
      <c r="F203" s="14">
        <v>10.38638732142857</v>
      </c>
      <c r="G203" s="14">
        <v>11.456920714285713</v>
      </c>
      <c r="H203" s="14">
        <v>9.2830467857142853</v>
      </c>
    </row>
    <row r="204" spans="1:8">
      <c r="A204" s="66" t="s">
        <v>67</v>
      </c>
      <c r="B204" s="71">
        <v>2007</v>
      </c>
      <c r="C204" s="66" t="s">
        <v>224</v>
      </c>
      <c r="D204" s="88" t="s">
        <v>244</v>
      </c>
      <c r="E204" s="88" t="s">
        <v>248</v>
      </c>
      <c r="F204" s="14">
        <v>10.270441275510189</v>
      </c>
      <c r="G204" s="14">
        <v>11.237397959183696</v>
      </c>
      <c r="H204" s="14">
        <v>9.2824082653061204</v>
      </c>
    </row>
    <row r="205" spans="1:8">
      <c r="A205" s="66" t="s">
        <v>67</v>
      </c>
      <c r="B205" s="71">
        <v>2009</v>
      </c>
      <c r="C205" s="66" t="s">
        <v>224</v>
      </c>
      <c r="D205" s="88" t="s">
        <v>244</v>
      </c>
      <c r="E205" s="88" t="s">
        <v>248</v>
      </c>
      <c r="F205" s="14">
        <v>9.7426001252319203</v>
      </c>
      <c r="G205" s="14">
        <v>10.426571929499062</v>
      </c>
      <c r="H205" s="14">
        <v>9.0591460946196687</v>
      </c>
    </row>
    <row r="206" spans="1:8">
      <c r="A206" s="66" t="s">
        <v>67</v>
      </c>
      <c r="B206" s="71">
        <v>2011</v>
      </c>
      <c r="C206" s="66" t="s">
        <v>224</v>
      </c>
      <c r="D206" s="88" t="s">
        <v>244</v>
      </c>
      <c r="E206" s="88" t="s">
        <v>248</v>
      </c>
      <c r="F206" s="14">
        <v>9.3028423320964464</v>
      </c>
      <c r="G206" s="14">
        <v>9.7283893283858998</v>
      </c>
      <c r="H206" s="14">
        <v>8.8933017810760688</v>
      </c>
    </row>
    <row r="207" spans="1:8">
      <c r="A207" s="66" t="s">
        <v>67</v>
      </c>
      <c r="B207" s="71">
        <v>2012</v>
      </c>
      <c r="C207" s="66" t="s">
        <v>224</v>
      </c>
      <c r="D207" s="88" t="s">
        <v>244</v>
      </c>
      <c r="E207" s="88" t="s">
        <v>248</v>
      </c>
      <c r="F207" s="14">
        <v>9.1367482824675026</v>
      </c>
      <c r="G207" s="14">
        <v>9.4372988951762746</v>
      </c>
      <c r="H207" s="14">
        <v>8.8590776345083437</v>
      </c>
    </row>
    <row r="208" spans="1:8">
      <c r="A208" s="66" t="s">
        <v>67</v>
      </c>
      <c r="B208" s="71">
        <v>2013</v>
      </c>
      <c r="C208" s="66" t="s">
        <v>224</v>
      </c>
      <c r="D208" s="88" t="s">
        <v>244</v>
      </c>
      <c r="E208" s="88" t="s">
        <v>248</v>
      </c>
      <c r="F208" s="14">
        <v>8.9865624471243102</v>
      </c>
      <c r="G208" s="14">
        <v>9.138436557204729</v>
      </c>
      <c r="H208" s="14">
        <v>8.863471345083493</v>
      </c>
    </row>
    <row r="209" spans="1:8">
      <c r="A209" s="66" t="s">
        <v>67</v>
      </c>
      <c r="B209" s="71">
        <v>2014</v>
      </c>
      <c r="C209" s="66" t="s">
        <v>224</v>
      </c>
      <c r="D209" s="88" t="s">
        <v>244</v>
      </c>
      <c r="E209" s="88" t="s">
        <v>248</v>
      </c>
      <c r="F209" s="14">
        <v>8.9489935505565974</v>
      </c>
      <c r="G209" s="14">
        <v>9.0342741171923588</v>
      </c>
      <c r="H209" s="14">
        <v>8.8869882189239284</v>
      </c>
    </row>
    <row r="210" spans="1:8">
      <c r="A210" s="66" t="s">
        <v>67</v>
      </c>
      <c r="B210" s="71">
        <v>2015</v>
      </c>
      <c r="C210" s="66" t="s">
        <v>224</v>
      </c>
      <c r="D210" s="88" t="s">
        <v>244</v>
      </c>
      <c r="E210" s="88" t="s">
        <v>248</v>
      </c>
      <c r="F210" s="14">
        <v>8.8707120825602974</v>
      </c>
      <c r="G210" s="14">
        <v>8.8986128200371386</v>
      </c>
      <c r="H210" s="14">
        <v>8.8633115213358149</v>
      </c>
    </row>
    <row r="211" spans="1:8">
      <c r="A211" s="66" t="s">
        <v>67</v>
      </c>
      <c r="B211" s="71">
        <v>2018</v>
      </c>
      <c r="C211" s="66" t="s">
        <v>224</v>
      </c>
      <c r="D211" s="88" t="s">
        <v>244</v>
      </c>
      <c r="E211" s="88" t="s">
        <v>248</v>
      </c>
      <c r="F211" s="14">
        <v>8.7298399999999994</v>
      </c>
      <c r="G211" s="14">
        <v>8.5234964285714305</v>
      </c>
      <c r="H211" s="14">
        <v>8.9456607142857152</v>
      </c>
    </row>
    <row r="212" spans="1:8">
      <c r="A212" s="66" t="s">
        <v>67</v>
      </c>
      <c r="B212" s="71">
        <v>2004</v>
      </c>
      <c r="C212" s="66" t="s">
        <v>224</v>
      </c>
      <c r="D212" s="88" t="s">
        <v>244</v>
      </c>
      <c r="E212" s="88" t="s">
        <v>249</v>
      </c>
      <c r="F212" s="14">
        <v>5.9095135714285707</v>
      </c>
      <c r="G212" s="14">
        <v>6.4287885714285711</v>
      </c>
      <c r="H212" s="14">
        <v>5.4407157142857141</v>
      </c>
    </row>
    <row r="213" spans="1:8">
      <c r="A213" s="66" t="s">
        <v>67</v>
      </c>
      <c r="B213" s="71">
        <v>2005</v>
      </c>
      <c r="C213" s="66" t="s">
        <v>224</v>
      </c>
      <c r="D213" s="88" t="s">
        <v>244</v>
      </c>
      <c r="E213" s="88" t="s">
        <v>249</v>
      </c>
      <c r="F213" s="14">
        <v>5.9095135714285716</v>
      </c>
      <c r="G213" s="14">
        <v>6.428788571428572</v>
      </c>
      <c r="H213" s="14">
        <v>5.440715714285715</v>
      </c>
    </row>
    <row r="214" spans="1:8">
      <c r="A214" s="66" t="s">
        <v>67</v>
      </c>
      <c r="B214" s="71">
        <v>2006</v>
      </c>
      <c r="C214" s="66" t="s">
        <v>224</v>
      </c>
      <c r="D214" s="88" t="s">
        <v>244</v>
      </c>
      <c r="E214" s="88" t="s">
        <v>249</v>
      </c>
      <c r="F214" s="14">
        <v>5.9012017857142851</v>
      </c>
      <c r="G214" s="14">
        <v>6.4251489285714305</v>
      </c>
      <c r="H214" s="14">
        <v>5.4287446428571426</v>
      </c>
    </row>
    <row r="215" spans="1:8">
      <c r="A215" s="66" t="s">
        <v>67</v>
      </c>
      <c r="B215" s="71">
        <v>2007</v>
      </c>
      <c r="C215" s="66" t="s">
        <v>224</v>
      </c>
      <c r="D215" s="88" t="s">
        <v>244</v>
      </c>
      <c r="E215" s="88" t="s">
        <v>249</v>
      </c>
      <c r="F215" s="14">
        <v>5.789442040816323</v>
      </c>
      <c r="G215" s="14">
        <v>6.250514591836656</v>
      </c>
      <c r="H215" s="14">
        <v>5.375867551020411</v>
      </c>
    </row>
    <row r="216" spans="1:8">
      <c r="A216" s="66" t="s">
        <v>67</v>
      </c>
      <c r="B216" s="71">
        <v>2009</v>
      </c>
      <c r="C216" s="66" t="s">
        <v>224</v>
      </c>
      <c r="D216" s="88" t="s">
        <v>244</v>
      </c>
      <c r="E216" s="88" t="s">
        <v>249</v>
      </c>
      <c r="F216" s="14">
        <v>5.3661017068645549</v>
      </c>
      <c r="G216" s="14">
        <v>5.7510208858997416</v>
      </c>
      <c r="H216" s="14">
        <v>5.0061736595547028</v>
      </c>
    </row>
    <row r="217" spans="1:8">
      <c r="A217" s="66" t="s">
        <v>67</v>
      </c>
      <c r="B217" s="71">
        <v>2011</v>
      </c>
      <c r="C217" s="66" t="s">
        <v>224</v>
      </c>
      <c r="D217" s="88" t="s">
        <v>244</v>
      </c>
      <c r="E217" s="88" t="s">
        <v>249</v>
      </c>
      <c r="F217" s="14">
        <v>4.9657300871984917</v>
      </c>
      <c r="G217" s="14">
        <v>5.2841130371057021</v>
      </c>
      <c r="H217" s="14">
        <v>4.6494156252319154</v>
      </c>
    </row>
    <row r="218" spans="1:8">
      <c r="A218" s="66" t="s">
        <v>67</v>
      </c>
      <c r="B218" s="71">
        <v>2012</v>
      </c>
      <c r="C218" s="66" t="s">
        <v>224</v>
      </c>
      <c r="D218" s="88" t="s">
        <v>244</v>
      </c>
      <c r="E218" s="88" t="s">
        <v>249</v>
      </c>
      <c r="F218" s="14">
        <v>4.8799598896103706</v>
      </c>
      <c r="G218" s="14">
        <v>5.0861441127086717</v>
      </c>
      <c r="H218" s="14">
        <v>4.6842926794990607</v>
      </c>
    </row>
    <row r="219" spans="1:8">
      <c r="A219" s="66" t="s">
        <v>67</v>
      </c>
      <c r="B219" s="71">
        <v>2013</v>
      </c>
      <c r="C219" s="66" t="s">
        <v>224</v>
      </c>
      <c r="D219" s="88" t="s">
        <v>244</v>
      </c>
      <c r="E219" s="88" t="s">
        <v>249</v>
      </c>
      <c r="F219" s="14">
        <v>4.8150562396413168</v>
      </c>
      <c r="G219" s="14">
        <v>4.9157381645021427</v>
      </c>
      <c r="H219" s="14">
        <v>4.7320828290043115</v>
      </c>
    </row>
    <row r="220" spans="1:8">
      <c r="A220" s="66" t="s">
        <v>67</v>
      </c>
      <c r="B220" s="71">
        <v>2014</v>
      </c>
      <c r="C220" s="66" t="s">
        <v>224</v>
      </c>
      <c r="D220" s="88" t="s">
        <v>244</v>
      </c>
      <c r="E220" s="88" t="s">
        <v>249</v>
      </c>
      <c r="F220" s="14">
        <v>4.8536005488559111</v>
      </c>
      <c r="G220" s="14">
        <v>4.9163269101731686</v>
      </c>
      <c r="H220" s="14">
        <v>4.8207789989177332</v>
      </c>
    </row>
    <row r="221" spans="1:8">
      <c r="A221" s="66" t="s">
        <v>67</v>
      </c>
      <c r="B221" s="71">
        <v>2015</v>
      </c>
      <c r="C221" s="66" t="s">
        <v>224</v>
      </c>
      <c r="D221" s="88" t="s">
        <v>244</v>
      </c>
      <c r="E221" s="88" t="s">
        <v>249</v>
      </c>
      <c r="F221" s="14">
        <v>4.8889722866419305</v>
      </c>
      <c r="G221" s="14">
        <v>4.9042623701298735</v>
      </c>
      <c r="H221" s="14">
        <v>4.9149783116883103</v>
      </c>
    </row>
    <row r="222" spans="1:8">
      <c r="A222" s="66" t="s">
        <v>67</v>
      </c>
      <c r="B222" s="71">
        <v>2018</v>
      </c>
      <c r="C222" s="66" t="s">
        <v>224</v>
      </c>
      <c r="D222" s="88" t="s">
        <v>244</v>
      </c>
      <c r="E222" s="88" t="s">
        <v>249</v>
      </c>
      <c r="F222" s="14">
        <v>5.0108342857142869</v>
      </c>
      <c r="G222" s="14">
        <v>5.1190450000000007</v>
      </c>
      <c r="H222" s="14">
        <v>4.9366700000000003</v>
      </c>
    </row>
    <row r="223" spans="1:8">
      <c r="A223" s="66" t="s">
        <v>67</v>
      </c>
      <c r="B223" s="71">
        <v>2004</v>
      </c>
      <c r="C223" s="66" t="s">
        <v>224</v>
      </c>
      <c r="D223" s="88" t="s">
        <v>250</v>
      </c>
      <c r="E223" s="88" t="s">
        <v>245</v>
      </c>
      <c r="F223" s="14">
        <v>27.471305714285712</v>
      </c>
      <c r="G223" s="14">
        <v>33.269367857142861</v>
      </c>
      <c r="H223" s="14">
        <v>21.797309285714284</v>
      </c>
    </row>
    <row r="224" spans="1:8">
      <c r="A224" s="66" t="s">
        <v>67</v>
      </c>
      <c r="B224" s="71">
        <v>2005</v>
      </c>
      <c r="C224" s="66" t="s">
        <v>224</v>
      </c>
      <c r="D224" s="88" t="s">
        <v>250</v>
      </c>
      <c r="E224" s="88" t="s">
        <v>245</v>
      </c>
      <c r="F224" s="14">
        <v>27.471305714285712</v>
      </c>
      <c r="G224" s="14">
        <v>33.269367857142861</v>
      </c>
      <c r="H224" s="14">
        <v>21.797309285714284</v>
      </c>
    </row>
    <row r="225" spans="1:8">
      <c r="A225" s="66" t="s">
        <v>67</v>
      </c>
      <c r="B225" s="71">
        <v>2006</v>
      </c>
      <c r="C225" s="66" t="s">
        <v>224</v>
      </c>
      <c r="D225" s="88" t="s">
        <v>250</v>
      </c>
      <c r="E225" s="88" t="s">
        <v>245</v>
      </c>
      <c r="F225" s="14">
        <v>27.41163357142856</v>
      </c>
      <c r="G225" s="14">
        <v>33.138480535714265</v>
      </c>
      <c r="H225" s="14">
        <v>21.801323571428576</v>
      </c>
    </row>
    <row r="226" spans="1:8">
      <c r="A226" s="66" t="s">
        <v>67</v>
      </c>
      <c r="B226" s="71">
        <v>2007</v>
      </c>
      <c r="C226" s="66" t="s">
        <v>224</v>
      </c>
      <c r="D226" s="88" t="s">
        <v>250</v>
      </c>
      <c r="E226" s="88" t="s">
        <v>245</v>
      </c>
      <c r="F226" s="14">
        <v>27.229523877551031</v>
      </c>
      <c r="G226" s="14">
        <v>32.880120561224444</v>
      </c>
      <c r="H226" s="14">
        <v>21.685490306122489</v>
      </c>
    </row>
    <row r="227" spans="1:8">
      <c r="A227" s="66" t="s">
        <v>67</v>
      </c>
      <c r="B227" s="71">
        <v>2009</v>
      </c>
      <c r="C227" s="66" t="s">
        <v>224</v>
      </c>
      <c r="D227" s="88" t="s">
        <v>250</v>
      </c>
      <c r="E227" s="88" t="s">
        <v>245</v>
      </c>
      <c r="F227" s="14">
        <v>26.75934455473099</v>
      </c>
      <c r="G227" s="14">
        <v>32.218658988868256</v>
      </c>
      <c r="H227" s="14">
        <v>21.386214165120609</v>
      </c>
    </row>
    <row r="228" spans="1:8">
      <c r="A228" s="66" t="s">
        <v>67</v>
      </c>
      <c r="B228" s="71">
        <v>2011</v>
      </c>
      <c r="C228" s="66" t="s">
        <v>224</v>
      </c>
      <c r="D228" s="88" t="s">
        <v>250</v>
      </c>
      <c r="E228" s="88" t="s">
        <v>245</v>
      </c>
      <c r="F228" s="14">
        <v>26.050446946196693</v>
      </c>
      <c r="G228" s="14">
        <v>31.399402630797741</v>
      </c>
      <c r="H228" s="14">
        <v>20.774455738404441</v>
      </c>
    </row>
    <row r="229" spans="1:8">
      <c r="A229" s="66" t="s">
        <v>67</v>
      </c>
      <c r="B229" s="71">
        <v>2012</v>
      </c>
      <c r="C229" s="66" t="s">
        <v>224</v>
      </c>
      <c r="D229" s="88" t="s">
        <v>250</v>
      </c>
      <c r="E229" s="88" t="s">
        <v>245</v>
      </c>
      <c r="F229" s="14">
        <v>25.800920004174383</v>
      </c>
      <c r="G229" s="14">
        <v>31.104190523191026</v>
      </c>
      <c r="H229" s="14">
        <v>20.58264109137296</v>
      </c>
    </row>
    <row r="230" spans="1:8">
      <c r="A230" s="66" t="s">
        <v>67</v>
      </c>
      <c r="B230" s="71">
        <v>2013</v>
      </c>
      <c r="C230" s="66" t="s">
        <v>224</v>
      </c>
      <c r="D230" s="88" t="s">
        <v>250</v>
      </c>
      <c r="E230" s="88" t="s">
        <v>245</v>
      </c>
      <c r="F230" s="14">
        <v>25.514118062152161</v>
      </c>
      <c r="G230" s="14">
        <v>30.719524367965295</v>
      </c>
      <c r="H230" s="14">
        <v>20.412603349103275</v>
      </c>
    </row>
    <row r="231" spans="1:8">
      <c r="A231" s="66" t="s">
        <v>67</v>
      </c>
      <c r="B231" s="71">
        <v>2014</v>
      </c>
      <c r="C231" s="66" t="s">
        <v>224</v>
      </c>
      <c r="D231" s="88" t="s">
        <v>250</v>
      </c>
      <c r="E231" s="88" t="s">
        <v>245</v>
      </c>
      <c r="F231" s="14">
        <v>25.349753671150243</v>
      </c>
      <c r="G231" s="14">
        <v>30.462330865800833</v>
      </c>
      <c r="H231" s="14">
        <v>20.362413157854085</v>
      </c>
    </row>
    <row r="232" spans="1:8">
      <c r="A232" s="66" t="s">
        <v>67</v>
      </c>
      <c r="B232" s="71">
        <v>2015</v>
      </c>
      <c r="C232" s="66" t="s">
        <v>224</v>
      </c>
      <c r="D232" s="88" t="s">
        <v>250</v>
      </c>
      <c r="E232" s="88" t="s">
        <v>245</v>
      </c>
      <c r="F232" s="14">
        <v>25.364420565862702</v>
      </c>
      <c r="G232" s="14">
        <v>30.414922077922053</v>
      </c>
      <c r="H232" s="14">
        <v>20.464449823747689</v>
      </c>
    </row>
    <row r="233" spans="1:8">
      <c r="A233" s="66" t="s">
        <v>67</v>
      </c>
      <c r="B233" s="71">
        <v>2018</v>
      </c>
      <c r="C233" s="66" t="s">
        <v>224</v>
      </c>
      <c r="D233" s="88" t="s">
        <v>250</v>
      </c>
      <c r="E233" s="88" t="s">
        <v>245</v>
      </c>
      <c r="F233" s="14">
        <v>25.058485714285716</v>
      </c>
      <c r="G233" s="14">
        <v>29.707125000000001</v>
      </c>
      <c r="H233" s="14">
        <v>20.654343571428569</v>
      </c>
    </row>
    <row r="234" spans="1:8">
      <c r="A234" s="66" t="s">
        <v>67</v>
      </c>
      <c r="B234" s="71">
        <v>2004</v>
      </c>
      <c r="C234" s="66" t="s">
        <v>224</v>
      </c>
      <c r="D234" s="88" t="s">
        <v>250</v>
      </c>
      <c r="E234" s="88" t="s">
        <v>246</v>
      </c>
      <c r="F234" s="14">
        <v>21.607304285714285</v>
      </c>
      <c r="G234" s="14">
        <v>26.278290714285713</v>
      </c>
      <c r="H234" s="14">
        <v>16.818697142857143</v>
      </c>
    </row>
    <row r="235" spans="1:8">
      <c r="A235" s="66" t="s">
        <v>67</v>
      </c>
      <c r="B235" s="71">
        <v>2005</v>
      </c>
      <c r="C235" s="66" t="s">
        <v>224</v>
      </c>
      <c r="D235" s="88" t="s">
        <v>250</v>
      </c>
      <c r="E235" s="88" t="s">
        <v>246</v>
      </c>
      <c r="F235" s="14">
        <v>21.607304285714289</v>
      </c>
      <c r="G235" s="14">
        <v>26.278290714285713</v>
      </c>
      <c r="H235" s="14">
        <v>16.81869714285714</v>
      </c>
    </row>
    <row r="236" spans="1:8">
      <c r="A236" s="66" t="s">
        <v>67</v>
      </c>
      <c r="B236" s="71">
        <v>2006</v>
      </c>
      <c r="C236" s="66" t="s">
        <v>224</v>
      </c>
      <c r="D236" s="88" t="s">
        <v>250</v>
      </c>
      <c r="E236" s="88" t="s">
        <v>246</v>
      </c>
      <c r="F236" s="14">
        <v>21.621741071428573</v>
      </c>
      <c r="G236" s="14">
        <v>26.203954107142891</v>
      </c>
      <c r="H236" s="14">
        <v>16.915166071428555</v>
      </c>
    </row>
    <row r="237" spans="1:8">
      <c r="A237" s="66" t="s">
        <v>67</v>
      </c>
      <c r="B237" s="71">
        <v>2007</v>
      </c>
      <c r="C237" s="66" t="s">
        <v>224</v>
      </c>
      <c r="D237" s="88" t="s">
        <v>250</v>
      </c>
      <c r="E237" s="88" t="s">
        <v>246</v>
      </c>
      <c r="F237" s="14">
        <v>21.461943775510242</v>
      </c>
      <c r="G237" s="14">
        <v>25.946700459183681</v>
      </c>
      <c r="H237" s="14">
        <v>16.861628979591831</v>
      </c>
    </row>
    <row r="238" spans="1:8">
      <c r="A238" s="66" t="s">
        <v>67</v>
      </c>
      <c r="B238" s="71">
        <v>2009</v>
      </c>
      <c r="C238" s="66" t="s">
        <v>224</v>
      </c>
      <c r="D238" s="88" t="s">
        <v>250</v>
      </c>
      <c r="E238" s="88" t="s">
        <v>246</v>
      </c>
      <c r="F238" s="14">
        <v>20.692121975881285</v>
      </c>
      <c r="G238" s="14">
        <v>25.113167935992504</v>
      </c>
      <c r="H238" s="14">
        <v>16.15469404916513</v>
      </c>
    </row>
    <row r="239" spans="1:8">
      <c r="A239" s="66" t="s">
        <v>67</v>
      </c>
      <c r="B239" s="71">
        <v>2011</v>
      </c>
      <c r="C239" s="66" t="s">
        <v>224</v>
      </c>
      <c r="D239" s="88" t="s">
        <v>250</v>
      </c>
      <c r="E239" s="88" t="s">
        <v>246</v>
      </c>
      <c r="F239" s="14">
        <v>19.782646033395192</v>
      </c>
      <c r="G239" s="14">
        <v>24.377439484230045</v>
      </c>
      <c r="H239" s="14">
        <v>15.091120404452685</v>
      </c>
    </row>
    <row r="240" spans="1:8">
      <c r="A240" s="66" t="s">
        <v>67</v>
      </c>
      <c r="B240" s="71">
        <v>2012</v>
      </c>
      <c r="C240" s="66" t="s">
        <v>224</v>
      </c>
      <c r="D240" s="88" t="s">
        <v>250</v>
      </c>
      <c r="E240" s="88" t="s">
        <v>246</v>
      </c>
      <c r="F240" s="14">
        <v>19.539217041743967</v>
      </c>
      <c r="G240" s="14">
        <v>24.007790845083488</v>
      </c>
      <c r="H240" s="14">
        <v>14.980635954545434</v>
      </c>
    </row>
    <row r="241" spans="1:8">
      <c r="A241" s="66" t="s">
        <v>67</v>
      </c>
      <c r="B241" s="71">
        <v>2013</v>
      </c>
      <c r="C241" s="66" t="s">
        <v>224</v>
      </c>
      <c r="D241" s="88" t="s">
        <v>250</v>
      </c>
      <c r="E241" s="88" t="s">
        <v>246</v>
      </c>
      <c r="F241" s="14">
        <v>19.240987216759454</v>
      </c>
      <c r="G241" s="14">
        <v>23.466330896413101</v>
      </c>
      <c r="H241" s="14">
        <v>14.933388766542979</v>
      </c>
    </row>
    <row r="242" spans="1:8">
      <c r="A242" s="66" t="s">
        <v>67</v>
      </c>
      <c r="B242" s="71">
        <v>2014</v>
      </c>
      <c r="C242" s="66" t="s">
        <v>224</v>
      </c>
      <c r="D242" s="88" t="s">
        <v>250</v>
      </c>
      <c r="E242" s="88" t="s">
        <v>246</v>
      </c>
      <c r="F242" s="14">
        <v>19.116991473407552</v>
      </c>
      <c r="G242" s="14">
        <v>23.107787988559174</v>
      </c>
      <c r="H242" s="14">
        <v>15.036147598948657</v>
      </c>
    </row>
    <row r="243" spans="1:8">
      <c r="A243" s="66" t="s">
        <v>67</v>
      </c>
      <c r="B243" s="71">
        <v>2015</v>
      </c>
      <c r="C243" s="66" t="s">
        <v>224</v>
      </c>
      <c r="D243" s="88" t="s">
        <v>250</v>
      </c>
      <c r="E243" s="88" t="s">
        <v>246</v>
      </c>
      <c r="F243" s="14">
        <v>19.048386015769946</v>
      </c>
      <c r="G243" s="14">
        <v>22.774679652133671</v>
      </c>
      <c r="H243" s="14">
        <v>15.220756859925782</v>
      </c>
    </row>
    <row r="244" spans="1:8">
      <c r="A244" s="66" t="s">
        <v>67</v>
      </c>
      <c r="B244" s="71">
        <v>2018</v>
      </c>
      <c r="C244" s="66" t="s">
        <v>224</v>
      </c>
      <c r="D244" s="88" t="s">
        <v>250</v>
      </c>
      <c r="E244" s="88" t="s">
        <v>246</v>
      </c>
      <c r="F244" s="14">
        <v>18.695733571428573</v>
      </c>
      <c r="G244" s="14">
        <v>21.736019285714288</v>
      </c>
      <c r="H244" s="14">
        <v>15.512872142857146</v>
      </c>
    </row>
    <row r="245" spans="1:8">
      <c r="A245" s="66" t="s">
        <v>67</v>
      </c>
      <c r="B245" s="71">
        <v>2004</v>
      </c>
      <c r="C245" s="66" t="s">
        <v>224</v>
      </c>
      <c r="D245" s="88" t="s">
        <v>250</v>
      </c>
      <c r="E245" s="88" t="s">
        <v>247</v>
      </c>
      <c r="F245" s="14">
        <v>15.022509285714284</v>
      </c>
      <c r="G245" s="14">
        <v>18.21194357142857</v>
      </c>
      <c r="H245" s="14">
        <v>12.294218571428571</v>
      </c>
    </row>
    <row r="246" spans="1:8">
      <c r="A246" s="66" t="s">
        <v>67</v>
      </c>
      <c r="B246" s="71">
        <v>2005</v>
      </c>
      <c r="C246" s="66" t="s">
        <v>224</v>
      </c>
      <c r="D246" s="88" t="s">
        <v>250</v>
      </c>
      <c r="E246" s="88" t="s">
        <v>247</v>
      </c>
      <c r="F246" s="14">
        <v>15.022509285714289</v>
      </c>
      <c r="G246" s="14">
        <v>18.211943571428566</v>
      </c>
      <c r="H246" s="14">
        <v>12.294218571428571</v>
      </c>
    </row>
    <row r="247" spans="1:8">
      <c r="A247" s="66" t="s">
        <v>67</v>
      </c>
      <c r="B247" s="71">
        <v>2006</v>
      </c>
      <c r="C247" s="66" t="s">
        <v>224</v>
      </c>
      <c r="D247" s="88" t="s">
        <v>250</v>
      </c>
      <c r="E247" s="88" t="s">
        <v>247</v>
      </c>
      <c r="F247" s="14">
        <v>15.01501857142857</v>
      </c>
      <c r="G247" s="14">
        <v>18.155450535714269</v>
      </c>
      <c r="H247" s="14">
        <v>12.334065714285714</v>
      </c>
    </row>
    <row r="248" spans="1:8">
      <c r="A248" s="66" t="s">
        <v>67</v>
      </c>
      <c r="B248" s="71">
        <v>2007</v>
      </c>
      <c r="C248" s="66" t="s">
        <v>224</v>
      </c>
      <c r="D248" s="88" t="s">
        <v>250</v>
      </c>
      <c r="E248" s="88" t="s">
        <v>247</v>
      </c>
      <c r="F248" s="14">
        <v>14.877233367346941</v>
      </c>
      <c r="G248" s="14">
        <v>17.956298418367346</v>
      </c>
      <c r="H248" s="14">
        <v>12.252220816326512</v>
      </c>
    </row>
    <row r="249" spans="1:8">
      <c r="A249" s="66" t="s">
        <v>67</v>
      </c>
      <c r="B249" s="71">
        <v>2009</v>
      </c>
      <c r="C249" s="66" t="s">
        <v>224</v>
      </c>
      <c r="D249" s="88" t="s">
        <v>250</v>
      </c>
      <c r="E249" s="88" t="s">
        <v>247</v>
      </c>
      <c r="F249" s="14">
        <v>14.155053576066809</v>
      </c>
      <c r="G249" s="14">
        <v>17.234621553803354</v>
      </c>
      <c r="H249" s="14">
        <v>11.506842708719878</v>
      </c>
    </row>
    <row r="250" spans="1:8">
      <c r="A250" s="66" t="s">
        <v>67</v>
      </c>
      <c r="B250" s="71">
        <v>2011</v>
      </c>
      <c r="C250" s="66" t="s">
        <v>224</v>
      </c>
      <c r="D250" s="88" t="s">
        <v>250</v>
      </c>
      <c r="E250" s="88" t="s">
        <v>247</v>
      </c>
      <c r="F250" s="14">
        <v>13.462493213358082</v>
      </c>
      <c r="G250" s="14">
        <v>16.679688189239343</v>
      </c>
      <c r="H250" s="14">
        <v>10.659529458256033</v>
      </c>
    </row>
    <row r="251" spans="1:8">
      <c r="A251" s="66" t="s">
        <v>67</v>
      </c>
      <c r="B251" s="71">
        <v>2012</v>
      </c>
      <c r="C251" s="66" t="s">
        <v>224</v>
      </c>
      <c r="D251" s="88" t="s">
        <v>250</v>
      </c>
      <c r="E251" s="88" t="s">
        <v>247</v>
      </c>
      <c r="F251" s="14">
        <v>13.363116909554735</v>
      </c>
      <c r="G251" s="14">
        <v>16.413071762059349</v>
      </c>
      <c r="H251" s="14">
        <v>10.737130358534325</v>
      </c>
    </row>
    <row r="252" spans="1:8">
      <c r="A252" s="66" t="s">
        <v>67</v>
      </c>
      <c r="B252" s="71">
        <v>2013</v>
      </c>
      <c r="C252" s="66" t="s">
        <v>224</v>
      </c>
      <c r="D252" s="88" t="s">
        <v>250</v>
      </c>
      <c r="E252" s="88" t="s">
        <v>247</v>
      </c>
      <c r="F252" s="14">
        <v>13.222531677179981</v>
      </c>
      <c r="G252" s="14">
        <v>16.066441882498417</v>
      </c>
      <c r="H252" s="14">
        <v>10.766671377860192</v>
      </c>
    </row>
    <row r="253" spans="1:8">
      <c r="A253" s="66" t="s">
        <v>67</v>
      </c>
      <c r="B253" s="71">
        <v>2014</v>
      </c>
      <c r="C253" s="66" t="s">
        <v>224</v>
      </c>
      <c r="D253" s="88" t="s">
        <v>250</v>
      </c>
      <c r="E253" s="88" t="s">
        <v>247</v>
      </c>
      <c r="F253" s="14">
        <v>13.212240934601116</v>
      </c>
      <c r="G253" s="14">
        <v>15.862471084570144</v>
      </c>
      <c r="H253" s="14">
        <v>10.917904438002456</v>
      </c>
    </row>
    <row r="254" spans="1:8">
      <c r="A254" s="66" t="s">
        <v>67</v>
      </c>
      <c r="B254" s="71">
        <v>2015</v>
      </c>
      <c r="C254" s="66" t="s">
        <v>224</v>
      </c>
      <c r="D254" s="88" t="s">
        <v>250</v>
      </c>
      <c r="E254" s="88" t="s">
        <v>247</v>
      </c>
      <c r="F254" s="14">
        <v>13.194631192022245</v>
      </c>
      <c r="G254" s="14">
        <v>15.63162157235622</v>
      </c>
      <c r="H254" s="14">
        <v>11.08025792671614</v>
      </c>
    </row>
    <row r="255" spans="1:8">
      <c r="A255" s="66" t="s">
        <v>67</v>
      </c>
      <c r="B255" s="71">
        <v>2018</v>
      </c>
      <c r="C255" s="66" t="s">
        <v>224</v>
      </c>
      <c r="D255" s="88" t="s">
        <v>250</v>
      </c>
      <c r="E255" s="88" t="s">
        <v>247</v>
      </c>
      <c r="F255" s="14">
        <v>12.807978571428572</v>
      </c>
      <c r="G255" s="14">
        <v>14.913845714285713</v>
      </c>
      <c r="H255" s="14">
        <v>10.900362142857144</v>
      </c>
    </row>
    <row r="256" spans="1:8">
      <c r="A256" s="66" t="s">
        <v>67</v>
      </c>
      <c r="B256" s="71">
        <v>2004</v>
      </c>
      <c r="C256" s="66" t="s">
        <v>224</v>
      </c>
      <c r="D256" s="88" t="s">
        <v>250</v>
      </c>
      <c r="E256" s="88" t="s">
        <v>248</v>
      </c>
      <c r="F256" s="14">
        <v>11.678218571428573</v>
      </c>
      <c r="G256" s="14">
        <v>11.693272142857142</v>
      </c>
      <c r="H256" s="14">
        <v>8.4913921428571424</v>
      </c>
    </row>
    <row r="257" spans="1:8">
      <c r="A257" s="66" t="s">
        <v>67</v>
      </c>
      <c r="B257" s="71">
        <v>2005</v>
      </c>
      <c r="C257" s="66" t="s">
        <v>224</v>
      </c>
      <c r="D257" s="88" t="s">
        <v>250</v>
      </c>
      <c r="E257" s="88" t="s">
        <v>248</v>
      </c>
      <c r="F257" s="14">
        <v>11.678218571428571</v>
      </c>
      <c r="G257" s="14">
        <v>11.693272142857142</v>
      </c>
      <c r="H257" s="14">
        <v>8.4913921428571424</v>
      </c>
    </row>
    <row r="258" spans="1:8">
      <c r="A258" s="66" t="s">
        <v>67</v>
      </c>
      <c r="B258" s="71">
        <v>2006</v>
      </c>
      <c r="C258" s="66" t="s">
        <v>224</v>
      </c>
      <c r="D258" s="88" t="s">
        <v>250</v>
      </c>
      <c r="E258" s="88" t="s">
        <v>248</v>
      </c>
      <c r="F258" s="14">
        <v>11.711498392857141</v>
      </c>
      <c r="G258" s="14">
        <v>11.688945357142856</v>
      </c>
      <c r="H258" s="14">
        <v>8.562189464285705</v>
      </c>
    </row>
    <row r="259" spans="1:8">
      <c r="A259" s="66" t="s">
        <v>67</v>
      </c>
      <c r="B259" s="71">
        <v>2007</v>
      </c>
      <c r="C259" s="66" t="s">
        <v>224</v>
      </c>
      <c r="D259" s="88" t="s">
        <v>250</v>
      </c>
      <c r="E259" s="88" t="s">
        <v>248</v>
      </c>
      <c r="F259" s="14">
        <v>11.616283622448973</v>
      </c>
      <c r="G259" s="14">
        <v>11.4999076530612</v>
      </c>
      <c r="H259" s="14">
        <v>8.5757863775510152</v>
      </c>
    </row>
    <row r="260" spans="1:8">
      <c r="A260" s="66" t="s">
        <v>67</v>
      </c>
      <c r="B260" s="71">
        <v>2009</v>
      </c>
      <c r="C260" s="66" t="s">
        <v>224</v>
      </c>
      <c r="D260" s="88" t="s">
        <v>250</v>
      </c>
      <c r="E260" s="88" t="s">
        <v>248</v>
      </c>
      <c r="F260" s="14">
        <v>10.889438042671623</v>
      </c>
      <c r="G260" s="14">
        <v>10.564839128014748</v>
      </c>
      <c r="H260" s="14">
        <v>8.0847669573283074</v>
      </c>
    </row>
    <row r="261" spans="1:8">
      <c r="A261" s="66" t="s">
        <v>67</v>
      </c>
      <c r="B261" s="71">
        <v>2011</v>
      </c>
      <c r="C261" s="66" t="s">
        <v>224</v>
      </c>
      <c r="D261" s="88" t="s">
        <v>250</v>
      </c>
      <c r="E261" s="88" t="s">
        <v>248</v>
      </c>
      <c r="F261" s="14">
        <v>10.086295677179949</v>
      </c>
      <c r="G261" s="14">
        <v>9.6549367458255517</v>
      </c>
      <c r="H261" s="14">
        <v>7.4172560371057541</v>
      </c>
    </row>
    <row r="262" spans="1:8">
      <c r="A262" s="66" t="s">
        <v>67</v>
      </c>
      <c r="B262" s="71">
        <v>2012</v>
      </c>
      <c r="C262" s="66" t="s">
        <v>224</v>
      </c>
      <c r="D262" s="88" t="s">
        <v>250</v>
      </c>
      <c r="E262" s="88" t="s">
        <v>248</v>
      </c>
      <c r="F262" s="14">
        <v>9.8746446985157661</v>
      </c>
      <c r="G262" s="14">
        <v>9.2490685904452175</v>
      </c>
      <c r="H262" s="14">
        <v>7.4079774902597508</v>
      </c>
    </row>
    <row r="263" spans="1:8">
      <c r="A263" s="66" t="s">
        <v>67</v>
      </c>
      <c r="B263" s="71">
        <v>2013</v>
      </c>
      <c r="C263" s="66" t="s">
        <v>224</v>
      </c>
      <c r="D263" s="88" t="s">
        <v>250</v>
      </c>
      <c r="E263" s="88" t="s">
        <v>248</v>
      </c>
      <c r="F263" s="14">
        <v>9.5812109817563531</v>
      </c>
      <c r="G263" s="14">
        <v>8.8432004350649116</v>
      </c>
      <c r="H263" s="14">
        <v>7.3986989434137298</v>
      </c>
    </row>
    <row r="264" spans="1:8">
      <c r="A264" s="66" t="s">
        <v>67</v>
      </c>
      <c r="B264" s="71">
        <v>2014</v>
      </c>
      <c r="C264" s="66" t="s">
        <v>224</v>
      </c>
      <c r="D264" s="88" t="s">
        <v>250</v>
      </c>
      <c r="E264" s="88" t="s">
        <v>248</v>
      </c>
      <c r="F264" s="14">
        <v>9.4162718568336512</v>
      </c>
      <c r="G264" s="14">
        <v>8.6220431980519603</v>
      </c>
      <c r="H264" s="14">
        <v>7.4466208047309825</v>
      </c>
    </row>
    <row r="265" spans="1:8">
      <c r="A265" s="66" t="s">
        <v>67</v>
      </c>
      <c r="B265" s="71">
        <v>2015</v>
      </c>
      <c r="C265" s="66" t="s">
        <v>224</v>
      </c>
      <c r="D265" s="88" t="s">
        <v>250</v>
      </c>
      <c r="E265" s="88" t="s">
        <v>248</v>
      </c>
      <c r="F265" s="14">
        <v>9.2562013033395267</v>
      </c>
      <c r="G265" s="14">
        <v>8.3926296753246685</v>
      </c>
      <c r="H265" s="14">
        <v>7.5119910946196669</v>
      </c>
    </row>
    <row r="266" spans="1:8">
      <c r="A266" s="66" t="s">
        <v>67</v>
      </c>
      <c r="B266" s="71">
        <v>2018</v>
      </c>
      <c r="C266" s="66" t="s">
        <v>224</v>
      </c>
      <c r="D266" s="88" t="s">
        <v>250</v>
      </c>
      <c r="E266" s="88" t="s">
        <v>248</v>
      </c>
      <c r="F266" s="14">
        <v>8.6332828571428575</v>
      </c>
      <c r="G266" s="14">
        <v>7.5813371428571434</v>
      </c>
      <c r="H266" s="14">
        <v>7.5482057142857144</v>
      </c>
    </row>
    <row r="267" spans="1:8">
      <c r="A267" s="66" t="s">
        <v>67</v>
      </c>
      <c r="B267" s="71">
        <v>2004</v>
      </c>
      <c r="C267" s="66" t="s">
        <v>224</v>
      </c>
      <c r="D267" s="88" t="s">
        <v>250</v>
      </c>
      <c r="E267" s="88" t="s">
        <v>249</v>
      </c>
      <c r="F267" s="14">
        <v>4.4564657142857147</v>
      </c>
      <c r="G267" s="14">
        <v>5.6660342857142867</v>
      </c>
      <c r="H267" s="14">
        <v>3.2502914285714284</v>
      </c>
    </row>
    <row r="268" spans="1:8">
      <c r="A268" s="66" t="s">
        <v>67</v>
      </c>
      <c r="B268" s="71">
        <v>2005</v>
      </c>
      <c r="C268" s="66" t="s">
        <v>224</v>
      </c>
      <c r="D268" s="88" t="s">
        <v>250</v>
      </c>
      <c r="E268" s="88" t="s">
        <v>249</v>
      </c>
      <c r="F268" s="14">
        <v>4.4564657142857138</v>
      </c>
      <c r="G268" s="14">
        <v>5.6660342857142849</v>
      </c>
      <c r="H268" s="14">
        <v>3.2502914285714288</v>
      </c>
    </row>
    <row r="269" spans="1:8">
      <c r="A269" s="66" t="s">
        <v>67</v>
      </c>
      <c r="B269" s="71">
        <v>2006</v>
      </c>
      <c r="C269" s="66" t="s">
        <v>224</v>
      </c>
      <c r="D269" s="88" t="s">
        <v>250</v>
      </c>
      <c r="E269" s="88" t="s">
        <v>249</v>
      </c>
      <c r="F269" s="14">
        <v>4.5122630357142857</v>
      </c>
      <c r="G269" s="14">
        <v>5.7380705357142867</v>
      </c>
      <c r="H269" s="14">
        <v>3.2891973214285577</v>
      </c>
    </row>
    <row r="270" spans="1:8">
      <c r="A270" s="66" t="s">
        <v>67</v>
      </c>
      <c r="B270" s="71">
        <v>2007</v>
      </c>
      <c r="C270" s="66" t="s">
        <v>224</v>
      </c>
      <c r="D270" s="88" t="s">
        <v>250</v>
      </c>
      <c r="E270" s="88" t="s">
        <v>249</v>
      </c>
      <c r="F270" s="14">
        <v>4.3968603571428408</v>
      </c>
      <c r="G270" s="14">
        <v>5.5399694387755369</v>
      </c>
      <c r="H270" s="14">
        <v>3.2702338265305806</v>
      </c>
    </row>
    <row r="271" spans="1:8">
      <c r="A271" s="66" t="s">
        <v>67</v>
      </c>
      <c r="B271" s="71">
        <v>2009</v>
      </c>
      <c r="C271" s="66" t="s">
        <v>224</v>
      </c>
      <c r="D271" s="88" t="s">
        <v>250</v>
      </c>
      <c r="E271" s="88" t="s">
        <v>249</v>
      </c>
      <c r="F271" s="14">
        <v>4.7657389610389425</v>
      </c>
      <c r="G271" s="14">
        <v>6.0520674397031309</v>
      </c>
      <c r="H271" s="14">
        <v>3.4423505380333888</v>
      </c>
    </row>
    <row r="272" spans="1:8">
      <c r="A272" s="66" t="s">
        <v>67</v>
      </c>
      <c r="B272" s="71">
        <v>2011</v>
      </c>
      <c r="C272" s="66" t="s">
        <v>224</v>
      </c>
      <c r="D272" s="88" t="s">
        <v>250</v>
      </c>
      <c r="E272" s="88" t="s">
        <v>249</v>
      </c>
      <c r="F272" s="14">
        <v>4.8683763506492932</v>
      </c>
      <c r="G272" s="14">
        <v>6.25183294063081</v>
      </c>
      <c r="H272" s="14">
        <v>3.3944363209647297</v>
      </c>
    </row>
    <row r="273" spans="1:8">
      <c r="A273" s="66" t="s">
        <v>67</v>
      </c>
      <c r="B273" s="71">
        <v>2012</v>
      </c>
      <c r="C273" s="66" t="s">
        <v>224</v>
      </c>
      <c r="D273" s="88" t="s">
        <v>250</v>
      </c>
      <c r="E273" s="88" t="s">
        <v>249</v>
      </c>
      <c r="F273" s="14">
        <v>4.4972438209647745</v>
      </c>
      <c r="G273" s="14">
        <v>5.7708888543600283</v>
      </c>
      <c r="H273" s="14">
        <v>3.1345469675324695</v>
      </c>
    </row>
    <row r="274" spans="1:8">
      <c r="A274" s="66" t="s">
        <v>67</v>
      </c>
      <c r="B274" s="71">
        <v>2013</v>
      </c>
      <c r="C274" s="66" t="s">
        <v>224</v>
      </c>
      <c r="D274" s="88" t="s">
        <v>250</v>
      </c>
      <c r="E274" s="88" t="s">
        <v>249</v>
      </c>
      <c r="F274" s="14">
        <v>4.209162719851526</v>
      </c>
      <c r="G274" s="14">
        <v>5.2899447680891205</v>
      </c>
      <c r="H274" s="14">
        <v>2.8746576141001792</v>
      </c>
    </row>
    <row r="275" spans="1:8">
      <c r="A275" s="66" t="s">
        <v>67</v>
      </c>
      <c r="B275" s="71">
        <v>2014</v>
      </c>
      <c r="C275" s="66" t="s">
        <v>224</v>
      </c>
      <c r="D275" s="88" t="s">
        <v>250</v>
      </c>
      <c r="E275" s="88" t="s">
        <v>249</v>
      </c>
      <c r="F275" s="14">
        <v>4.0922816187384212</v>
      </c>
      <c r="G275" s="14">
        <v>5.0791380287570194</v>
      </c>
      <c r="H275" s="14">
        <v>2.6726376484230063</v>
      </c>
    </row>
    <row r="276" spans="1:8">
      <c r="A276" s="66" t="s">
        <v>67</v>
      </c>
      <c r="B276" s="71">
        <v>2015</v>
      </c>
      <c r="C276" s="66" t="s">
        <v>224</v>
      </c>
      <c r="D276" s="88" t="s">
        <v>250</v>
      </c>
      <c r="E276" s="88" t="s">
        <v>249</v>
      </c>
      <c r="F276" s="14">
        <v>4.0527238033394832</v>
      </c>
      <c r="G276" s="14">
        <v>4.9524612894249076</v>
      </c>
      <c r="H276" s="14">
        <v>2.5417272541743965</v>
      </c>
    </row>
    <row r="277" spans="1:8">
      <c r="A277" s="66" t="s">
        <v>67</v>
      </c>
      <c r="B277" s="71">
        <v>2018</v>
      </c>
      <c r="C277" s="66" t="s">
        <v>224</v>
      </c>
      <c r="D277" s="88" t="s">
        <v>250</v>
      </c>
      <c r="E277" s="88" t="s">
        <v>249</v>
      </c>
      <c r="F277" s="14">
        <v>4.8613664285714284</v>
      </c>
      <c r="G277" s="14">
        <v>5.9606307142857142</v>
      </c>
      <c r="H277" s="14">
        <v>2.4941514285714286</v>
      </c>
    </row>
    <row r="278" spans="1:8">
      <c r="A278" s="66" t="s">
        <v>67</v>
      </c>
      <c r="B278" s="71">
        <v>2004</v>
      </c>
      <c r="C278" s="66" t="s">
        <v>224</v>
      </c>
      <c r="D278" s="88" t="s">
        <v>251</v>
      </c>
      <c r="E278" s="88" t="s">
        <v>245</v>
      </c>
      <c r="F278" s="14">
        <v>13.360966428571428</v>
      </c>
      <c r="G278" s="14">
        <v>13.373655000000001</v>
      </c>
      <c r="H278" s="14">
        <v>12.480517142857142</v>
      </c>
    </row>
    <row r="279" spans="1:8">
      <c r="A279" s="66" t="s">
        <v>67</v>
      </c>
      <c r="B279" s="71">
        <v>2005</v>
      </c>
      <c r="C279" s="66" t="s">
        <v>224</v>
      </c>
      <c r="D279" s="88" t="s">
        <v>251</v>
      </c>
      <c r="E279" s="88" t="s">
        <v>245</v>
      </c>
      <c r="F279" s="14">
        <v>13.360966428571428</v>
      </c>
      <c r="G279" s="14">
        <v>13.373655000000001</v>
      </c>
      <c r="H279" s="14">
        <v>12.480517142857142</v>
      </c>
    </row>
    <row r="280" spans="1:8">
      <c r="A280" s="66" t="s">
        <v>67</v>
      </c>
      <c r="B280" s="71">
        <v>2006</v>
      </c>
      <c r="C280" s="66" t="s">
        <v>224</v>
      </c>
      <c r="D280" s="88" t="s">
        <v>251</v>
      </c>
      <c r="E280" s="88" t="s">
        <v>245</v>
      </c>
      <c r="F280" s="14">
        <v>13.200871428571462</v>
      </c>
      <c r="G280" s="14">
        <v>13.307652857142857</v>
      </c>
      <c r="H280" s="14">
        <v>12.241944107142915</v>
      </c>
    </row>
    <row r="281" spans="1:8">
      <c r="A281" s="66" t="s">
        <v>67</v>
      </c>
      <c r="B281" s="71">
        <v>2007</v>
      </c>
      <c r="C281" s="66" t="s">
        <v>224</v>
      </c>
      <c r="D281" s="88" t="s">
        <v>251</v>
      </c>
      <c r="E281" s="88" t="s">
        <v>245</v>
      </c>
      <c r="F281" s="14">
        <v>13.674871836734718</v>
      </c>
      <c r="G281" s="14">
        <v>13.241650714285724</v>
      </c>
      <c r="H281" s="14">
        <v>12.003371071428594</v>
      </c>
    </row>
    <row r="282" spans="1:8">
      <c r="A282" s="66" t="s">
        <v>67</v>
      </c>
      <c r="B282" s="71">
        <v>2009</v>
      </c>
      <c r="C282" s="66" t="s">
        <v>224</v>
      </c>
      <c r="D282" s="88" t="s">
        <v>251</v>
      </c>
      <c r="E282" s="88" t="s">
        <v>245</v>
      </c>
      <c r="F282" s="14">
        <v>14.658565899814411</v>
      </c>
      <c r="G282" s="14">
        <v>13.184589935064924</v>
      </c>
      <c r="H282" s="14">
        <v>11.515781883116881</v>
      </c>
    </row>
    <row r="283" spans="1:8">
      <c r="A283" s="66" t="s">
        <v>67</v>
      </c>
      <c r="B283" s="71">
        <v>2011</v>
      </c>
      <c r="C283" s="66" t="s">
        <v>224</v>
      </c>
      <c r="D283" s="88" t="s">
        <v>251</v>
      </c>
      <c r="E283" s="88" t="s">
        <v>245</v>
      </c>
      <c r="F283" s="14">
        <v>15.571831962894185</v>
      </c>
      <c r="G283" s="14">
        <v>12.75403258441551</v>
      </c>
      <c r="H283" s="14">
        <v>11.202310194805207</v>
      </c>
    </row>
    <row r="284" spans="1:8">
      <c r="A284" s="66" t="s">
        <v>67</v>
      </c>
      <c r="B284" s="71">
        <v>2012</v>
      </c>
      <c r="C284" s="66" t="s">
        <v>224</v>
      </c>
      <c r="D284" s="88" t="s">
        <v>251</v>
      </c>
      <c r="E284" s="88" t="s">
        <v>245</v>
      </c>
      <c r="F284" s="14">
        <v>16.614967877087228</v>
      </c>
      <c r="G284" s="14">
        <v>12.452975031539824</v>
      </c>
      <c r="H284" s="14">
        <v>11.312517207792194</v>
      </c>
    </row>
    <row r="285" spans="1:8">
      <c r="A285" s="66" t="s">
        <v>67</v>
      </c>
      <c r="B285" s="71">
        <v>2013</v>
      </c>
      <c r="C285" s="66" t="s">
        <v>224</v>
      </c>
      <c r="D285" s="88" t="s">
        <v>251</v>
      </c>
      <c r="E285" s="88" t="s">
        <v>245</v>
      </c>
      <c r="F285" s="14">
        <v>17.601713434137473</v>
      </c>
      <c r="G285" s="14">
        <v>12.298358907235562</v>
      </c>
      <c r="H285" s="14">
        <v>11.171414458874466</v>
      </c>
    </row>
    <row r="286" spans="1:8">
      <c r="A286" s="66" t="s">
        <v>67</v>
      </c>
      <c r="B286" s="71">
        <v>2014</v>
      </c>
      <c r="C286" s="66" t="s">
        <v>224</v>
      </c>
      <c r="D286" s="88" t="s">
        <v>251</v>
      </c>
      <c r="E286" s="88" t="s">
        <v>245</v>
      </c>
      <c r="F286" s="14">
        <v>17.954363583024129</v>
      </c>
      <c r="G286" s="14">
        <v>12.143742782931326</v>
      </c>
      <c r="H286" s="14">
        <v>11.030311709956692</v>
      </c>
    </row>
    <row r="287" spans="1:8">
      <c r="A287" s="66" t="s">
        <v>67</v>
      </c>
      <c r="B287" s="71">
        <v>2015</v>
      </c>
      <c r="C287" s="66" t="s">
        <v>224</v>
      </c>
      <c r="D287" s="88" t="s">
        <v>251</v>
      </c>
      <c r="E287" s="88" t="s">
        <v>245</v>
      </c>
      <c r="F287" s="14">
        <v>18.502322731910947</v>
      </c>
      <c r="G287" s="14">
        <v>12.241877087198532</v>
      </c>
      <c r="H287" s="14">
        <v>11.040723246753315</v>
      </c>
    </row>
    <row r="288" spans="1:8">
      <c r="A288" s="66" t="s">
        <v>67</v>
      </c>
      <c r="B288" s="71">
        <v>2018</v>
      </c>
      <c r="C288" s="66" t="s">
        <v>224</v>
      </c>
      <c r="D288" s="88" t="s">
        <v>251</v>
      </c>
      <c r="E288" s="88" t="s">
        <v>245</v>
      </c>
      <c r="F288" s="14">
        <v>18.241007857142854</v>
      </c>
      <c r="G288" s="14">
        <v>12.53628</v>
      </c>
      <c r="H288" s="14">
        <v>10.206314285714287</v>
      </c>
    </row>
    <row r="289" spans="1:8">
      <c r="A289" s="66" t="s">
        <v>67</v>
      </c>
      <c r="B289" s="71">
        <v>2004</v>
      </c>
      <c r="C289" s="66" t="s">
        <v>224</v>
      </c>
      <c r="D289" s="88" t="s">
        <v>251</v>
      </c>
      <c r="E289" s="88" t="s">
        <v>246</v>
      </c>
      <c r="F289" s="14">
        <v>14.163162142857143</v>
      </c>
      <c r="G289" s="14">
        <v>13.504018571428572</v>
      </c>
      <c r="H289" s="14">
        <v>14.82342857142857</v>
      </c>
    </row>
    <row r="290" spans="1:8">
      <c r="A290" s="66" t="s">
        <v>67</v>
      </c>
      <c r="B290" s="71">
        <v>2005</v>
      </c>
      <c r="C290" s="66" t="s">
        <v>224</v>
      </c>
      <c r="D290" s="88" t="s">
        <v>251</v>
      </c>
      <c r="E290" s="88" t="s">
        <v>246</v>
      </c>
      <c r="F290" s="14">
        <v>14.163162142857143</v>
      </c>
      <c r="G290" s="14">
        <v>13.504018571428572</v>
      </c>
      <c r="H290" s="14">
        <v>14.82342857142857</v>
      </c>
    </row>
    <row r="291" spans="1:8">
      <c r="A291" s="66" t="s">
        <v>67</v>
      </c>
      <c r="B291" s="71">
        <v>2006</v>
      </c>
      <c r="C291" s="66" t="s">
        <v>224</v>
      </c>
      <c r="D291" s="88" t="s">
        <v>251</v>
      </c>
      <c r="E291" s="88" t="s">
        <v>246</v>
      </c>
      <c r="F291" s="14">
        <v>13.975498750000014</v>
      </c>
      <c r="G291" s="14">
        <v>13.33656410714285</v>
      </c>
      <c r="H291" s="14">
        <v>14.622750892857153</v>
      </c>
    </row>
    <row r="292" spans="1:8">
      <c r="A292" s="66" t="s">
        <v>67</v>
      </c>
      <c r="B292" s="71">
        <v>2007</v>
      </c>
      <c r="C292" s="66" t="s">
        <v>224</v>
      </c>
      <c r="D292" s="88" t="s">
        <v>251</v>
      </c>
      <c r="E292" s="88" t="s">
        <v>246</v>
      </c>
      <c r="F292" s="14">
        <v>14.028727397959145</v>
      </c>
      <c r="G292" s="14">
        <v>13.532546785714304</v>
      </c>
      <c r="H292" s="14">
        <v>14.527125051020386</v>
      </c>
    </row>
    <row r="293" spans="1:8">
      <c r="A293" s="66" t="s">
        <v>67</v>
      </c>
      <c r="B293" s="71">
        <v>2009</v>
      </c>
      <c r="C293" s="66" t="s">
        <v>224</v>
      </c>
      <c r="D293" s="88" t="s">
        <v>251</v>
      </c>
      <c r="E293" s="88" t="s">
        <v>246</v>
      </c>
      <c r="F293" s="14">
        <v>13.83309573283859</v>
      </c>
      <c r="G293" s="14">
        <v>13.714541590909054</v>
      </c>
      <c r="H293" s="14">
        <v>13.935903529684603</v>
      </c>
    </row>
    <row r="294" spans="1:8">
      <c r="A294" s="66" t="s">
        <v>67</v>
      </c>
      <c r="B294" s="71">
        <v>2011</v>
      </c>
      <c r="C294" s="66" t="s">
        <v>224</v>
      </c>
      <c r="D294" s="88" t="s">
        <v>251</v>
      </c>
      <c r="E294" s="88" t="s">
        <v>246</v>
      </c>
      <c r="F294" s="14">
        <v>14.315170282003725</v>
      </c>
      <c r="G294" s="14">
        <v>14.393517610389614</v>
      </c>
      <c r="H294" s="14">
        <v>14.17058793692021</v>
      </c>
    </row>
    <row r="295" spans="1:8">
      <c r="A295" s="66" t="s">
        <v>67</v>
      </c>
      <c r="B295" s="71">
        <v>2012</v>
      </c>
      <c r="C295" s="66" t="s">
        <v>224</v>
      </c>
      <c r="D295" s="88" t="s">
        <v>251</v>
      </c>
      <c r="E295" s="88" t="s">
        <v>246</v>
      </c>
      <c r="F295" s="14">
        <v>14.825649673933246</v>
      </c>
      <c r="G295" s="14">
        <v>14.96896967625241</v>
      </c>
      <c r="H295" s="14">
        <v>14.589953507884989</v>
      </c>
    </row>
    <row r="296" spans="1:8">
      <c r="A296" s="66" t="s">
        <v>67</v>
      </c>
      <c r="B296" s="71">
        <v>2013</v>
      </c>
      <c r="C296" s="66" t="s">
        <v>224</v>
      </c>
      <c r="D296" s="88" t="s">
        <v>251</v>
      </c>
      <c r="E296" s="88" t="s">
        <v>246</v>
      </c>
      <c r="F296" s="14">
        <v>15.363886208719878</v>
      </c>
      <c r="G296" s="14">
        <v>15.621892932591251</v>
      </c>
      <c r="H296" s="14">
        <v>14.996587650278244</v>
      </c>
    </row>
    <row r="297" spans="1:8">
      <c r="A297" s="66" t="s">
        <v>67</v>
      </c>
      <c r="B297" s="71">
        <v>2014</v>
      </c>
      <c r="C297" s="66" t="s">
        <v>224</v>
      </c>
      <c r="D297" s="88" t="s">
        <v>251</v>
      </c>
      <c r="E297" s="88" t="s">
        <v>246</v>
      </c>
      <c r="F297" s="14">
        <v>15.661230702690185</v>
      </c>
      <c r="G297" s="14">
        <v>15.911379046073005</v>
      </c>
      <c r="H297" s="14">
        <v>15.298169955936876</v>
      </c>
    </row>
    <row r="298" spans="1:8">
      <c r="A298" s="66" t="s">
        <v>67</v>
      </c>
      <c r="B298" s="71">
        <v>2015</v>
      </c>
      <c r="C298" s="66" t="s">
        <v>224</v>
      </c>
      <c r="D298" s="88" t="s">
        <v>251</v>
      </c>
      <c r="E298" s="88" t="s">
        <v>246</v>
      </c>
      <c r="F298" s="14">
        <v>15.807385482374738</v>
      </c>
      <c r="G298" s="14">
        <v>16.11982901669758</v>
      </c>
      <c r="H298" s="14">
        <v>15.38747697588126</v>
      </c>
    </row>
    <row r="299" spans="1:8">
      <c r="A299" s="66" t="s">
        <v>67</v>
      </c>
      <c r="B299" s="71">
        <v>2018</v>
      </c>
      <c r="C299" s="66" t="s">
        <v>224</v>
      </c>
      <c r="D299" s="88" t="s">
        <v>251</v>
      </c>
      <c r="E299" s="88" t="s">
        <v>246</v>
      </c>
      <c r="F299" s="14">
        <v>15.665231428571429</v>
      </c>
      <c r="G299" s="14">
        <v>16.186989285714283</v>
      </c>
      <c r="H299" s="14">
        <v>15.051807142857143</v>
      </c>
    </row>
    <row r="300" spans="1:8">
      <c r="A300" s="66" t="s">
        <v>67</v>
      </c>
      <c r="B300" s="71">
        <v>2004</v>
      </c>
      <c r="C300" s="66" t="s">
        <v>224</v>
      </c>
      <c r="D300" s="88" t="s">
        <v>251</v>
      </c>
      <c r="E300" s="88" t="s">
        <v>247</v>
      </c>
      <c r="F300" s="14">
        <v>13.659774999999996</v>
      </c>
      <c r="G300" s="14">
        <v>12.683975</v>
      </c>
      <c r="H300" s="14">
        <v>14.535392142857143</v>
      </c>
    </row>
    <row r="301" spans="1:8">
      <c r="A301" s="66" t="s">
        <v>67</v>
      </c>
      <c r="B301" s="71">
        <v>2005</v>
      </c>
      <c r="C301" s="66" t="s">
        <v>224</v>
      </c>
      <c r="D301" s="88" t="s">
        <v>251</v>
      </c>
      <c r="E301" s="88" t="s">
        <v>247</v>
      </c>
      <c r="F301" s="14">
        <v>13.659775</v>
      </c>
      <c r="G301" s="14">
        <v>12.683975000000002</v>
      </c>
      <c r="H301" s="14">
        <v>14.535392142857145</v>
      </c>
    </row>
    <row r="302" spans="1:8">
      <c r="A302" s="66" t="s">
        <v>67</v>
      </c>
      <c r="B302" s="71">
        <v>2006</v>
      </c>
      <c r="C302" s="66" t="s">
        <v>224</v>
      </c>
      <c r="D302" s="88" t="s">
        <v>251</v>
      </c>
      <c r="E302" s="88" t="s">
        <v>247</v>
      </c>
      <c r="F302" s="14">
        <v>13.663178571428572</v>
      </c>
      <c r="G302" s="14">
        <v>12.670357857142855</v>
      </c>
      <c r="H302" s="14">
        <v>14.551712500000004</v>
      </c>
    </row>
    <row r="303" spans="1:8">
      <c r="A303" s="66" t="s">
        <v>67</v>
      </c>
      <c r="B303" s="71">
        <v>2007</v>
      </c>
      <c r="C303" s="66" t="s">
        <v>224</v>
      </c>
      <c r="D303" s="88" t="s">
        <v>251</v>
      </c>
      <c r="E303" s="88" t="s">
        <v>247</v>
      </c>
      <c r="F303" s="14">
        <v>13.582452244897977</v>
      </c>
      <c r="G303" s="14">
        <v>12.627238265306122</v>
      </c>
      <c r="H303" s="14">
        <v>14.437683571428588</v>
      </c>
    </row>
    <row r="304" spans="1:8">
      <c r="A304" s="66" t="s">
        <v>67</v>
      </c>
      <c r="B304" s="71">
        <v>2009</v>
      </c>
      <c r="C304" s="66" t="s">
        <v>224</v>
      </c>
      <c r="D304" s="88" t="s">
        <v>251</v>
      </c>
      <c r="E304" s="88" t="s">
        <v>247</v>
      </c>
      <c r="F304" s="14">
        <v>12.950436799628962</v>
      </c>
      <c r="G304" s="14">
        <v>12.011779308905362</v>
      </c>
      <c r="H304" s="14">
        <v>13.843278636363589</v>
      </c>
    </row>
    <row r="305" spans="1:8">
      <c r="A305" s="66" t="s">
        <v>67</v>
      </c>
      <c r="B305" s="71">
        <v>2011</v>
      </c>
      <c r="C305" s="66" t="s">
        <v>224</v>
      </c>
      <c r="D305" s="88" t="s">
        <v>251</v>
      </c>
      <c r="E305" s="88" t="s">
        <v>247</v>
      </c>
      <c r="F305" s="14">
        <v>12.452191354359924</v>
      </c>
      <c r="G305" s="14">
        <v>11.488560638218919</v>
      </c>
      <c r="H305" s="14">
        <v>13.421626415584422</v>
      </c>
    </row>
    <row r="306" spans="1:8">
      <c r="A306" s="66" t="s">
        <v>67</v>
      </c>
      <c r="B306" s="71">
        <v>2012</v>
      </c>
      <c r="C306" s="66" t="s">
        <v>224</v>
      </c>
      <c r="D306" s="88" t="s">
        <v>251</v>
      </c>
      <c r="E306" s="88" t="s">
        <v>247</v>
      </c>
      <c r="F306" s="14">
        <v>12.574187993970288</v>
      </c>
      <c r="G306" s="14">
        <v>11.670615588590008</v>
      </c>
      <c r="H306" s="14">
        <v>13.454834182745813</v>
      </c>
    </row>
    <row r="307" spans="1:8">
      <c r="A307" s="66" t="s">
        <v>67</v>
      </c>
      <c r="B307" s="71">
        <v>2013</v>
      </c>
      <c r="C307" s="66" t="s">
        <v>224</v>
      </c>
      <c r="D307" s="88" t="s">
        <v>251</v>
      </c>
      <c r="E307" s="88" t="s">
        <v>247</v>
      </c>
      <c r="F307" s="14">
        <v>12.714894276437807</v>
      </c>
      <c r="G307" s="14">
        <v>11.878427205627673</v>
      </c>
      <c r="H307" s="14">
        <v>13.500052188002471</v>
      </c>
    </row>
    <row r="308" spans="1:8">
      <c r="A308" s="66" t="s">
        <v>67</v>
      </c>
      <c r="B308" s="71">
        <v>2014</v>
      </c>
      <c r="C308" s="66" t="s">
        <v>224</v>
      </c>
      <c r="D308" s="88" t="s">
        <v>251</v>
      </c>
      <c r="E308" s="88" t="s">
        <v>247</v>
      </c>
      <c r="F308" s="14">
        <v>12.939730456864547</v>
      </c>
      <c r="G308" s="14">
        <v>12.115741271645012</v>
      </c>
      <c r="H308" s="14">
        <v>13.675619478973378</v>
      </c>
    </row>
    <row r="309" spans="1:8">
      <c r="A309" s="66" t="s">
        <v>67</v>
      </c>
      <c r="B309" s="71">
        <v>2015</v>
      </c>
      <c r="C309" s="66" t="s">
        <v>224</v>
      </c>
      <c r="D309" s="88" t="s">
        <v>251</v>
      </c>
      <c r="E309" s="88" t="s">
        <v>247</v>
      </c>
      <c r="F309" s="14">
        <v>13.094278065862706</v>
      </c>
      <c r="G309" s="14">
        <v>12.320552337662326</v>
      </c>
      <c r="H309" s="14">
        <v>13.748490055658626</v>
      </c>
    </row>
    <row r="310" spans="1:8">
      <c r="A310" s="66" t="s">
        <v>67</v>
      </c>
      <c r="B310" s="71">
        <v>2018</v>
      </c>
      <c r="C310" s="66" t="s">
        <v>224</v>
      </c>
      <c r="D310" s="88" t="s">
        <v>251</v>
      </c>
      <c r="E310" s="88" t="s">
        <v>247</v>
      </c>
      <c r="F310" s="14">
        <v>13.092944999999999</v>
      </c>
      <c r="G310" s="14">
        <v>12.294660714285715</v>
      </c>
      <c r="H310" s="14">
        <v>13.743392857142856</v>
      </c>
    </row>
    <row r="311" spans="1:8">
      <c r="A311" s="66" t="s">
        <v>67</v>
      </c>
      <c r="B311" s="71">
        <v>2004</v>
      </c>
      <c r="C311" s="66" t="s">
        <v>224</v>
      </c>
      <c r="D311" s="88" t="s">
        <v>251</v>
      </c>
      <c r="E311" s="88" t="s">
        <v>248</v>
      </c>
      <c r="F311" s="14">
        <v>9.9805271428571434</v>
      </c>
      <c r="G311" s="14">
        <v>10.859530000000001</v>
      </c>
      <c r="H311" s="14">
        <v>9.0906514285714266</v>
      </c>
    </row>
    <row r="312" spans="1:8">
      <c r="A312" s="66" t="s">
        <v>67</v>
      </c>
      <c r="B312" s="71">
        <v>2005</v>
      </c>
      <c r="C312" s="66" t="s">
        <v>224</v>
      </c>
      <c r="D312" s="88" t="s">
        <v>251</v>
      </c>
      <c r="E312" s="88" t="s">
        <v>248</v>
      </c>
      <c r="F312" s="14">
        <v>9.9805271428571434</v>
      </c>
      <c r="G312" s="14">
        <v>10.859529999999998</v>
      </c>
      <c r="H312" s="14">
        <v>9.0906514285714284</v>
      </c>
    </row>
    <row r="313" spans="1:8">
      <c r="A313" s="66" t="s">
        <v>67</v>
      </c>
      <c r="B313" s="71">
        <v>2006</v>
      </c>
      <c r="C313" s="66" t="s">
        <v>224</v>
      </c>
      <c r="D313" s="88" t="s">
        <v>251</v>
      </c>
      <c r="E313" s="88" t="s">
        <v>248</v>
      </c>
      <c r="F313" s="14">
        <v>9.9537446428571457</v>
      </c>
      <c r="G313" s="14">
        <v>10.811903214285719</v>
      </c>
      <c r="H313" s="14">
        <v>9.0838223214285723</v>
      </c>
    </row>
    <row r="314" spans="1:8">
      <c r="A314" s="66" t="s">
        <v>67</v>
      </c>
      <c r="B314" s="71">
        <v>2007</v>
      </c>
      <c r="C314" s="66" t="s">
        <v>224</v>
      </c>
      <c r="D314" s="88" t="s">
        <v>251</v>
      </c>
      <c r="E314" s="88" t="s">
        <v>248</v>
      </c>
      <c r="F314" s="14">
        <v>9.8297341836734571</v>
      </c>
      <c r="G314" s="14">
        <v>10.562522448979632</v>
      </c>
      <c r="H314" s="14">
        <v>9.0864289285714275</v>
      </c>
    </row>
    <row r="315" spans="1:8">
      <c r="A315" s="66" t="s">
        <v>67</v>
      </c>
      <c r="B315" s="71">
        <v>2009</v>
      </c>
      <c r="C315" s="66" t="s">
        <v>224</v>
      </c>
      <c r="D315" s="88" t="s">
        <v>251</v>
      </c>
      <c r="E315" s="88" t="s">
        <v>248</v>
      </c>
      <c r="F315" s="14">
        <v>9.3507900185528765</v>
      </c>
      <c r="G315" s="14">
        <v>9.7280219248608795</v>
      </c>
      <c r="H315" s="14">
        <v>8.9658818181818258</v>
      </c>
    </row>
    <row r="316" spans="1:8">
      <c r="A316" s="66" t="s">
        <v>67</v>
      </c>
      <c r="B316" s="71">
        <v>2011</v>
      </c>
      <c r="C316" s="66" t="s">
        <v>224</v>
      </c>
      <c r="D316" s="88" t="s">
        <v>251</v>
      </c>
      <c r="E316" s="88" t="s">
        <v>248</v>
      </c>
      <c r="F316" s="14">
        <v>9.0276957105751237</v>
      </c>
      <c r="G316" s="14">
        <v>9.0593932578850218</v>
      </c>
      <c r="H316" s="14">
        <v>8.9860472077922005</v>
      </c>
    </row>
    <row r="317" spans="1:8">
      <c r="A317" s="66" t="s">
        <v>67</v>
      </c>
      <c r="B317" s="71">
        <v>2012</v>
      </c>
      <c r="C317" s="66" t="s">
        <v>224</v>
      </c>
      <c r="D317" s="88" t="s">
        <v>251</v>
      </c>
      <c r="E317" s="88" t="s">
        <v>248</v>
      </c>
      <c r="F317" s="14">
        <v>8.8973350361780792</v>
      </c>
      <c r="G317" s="14">
        <v>8.8123834907235477</v>
      </c>
      <c r="H317" s="14">
        <v>8.9719003617810706</v>
      </c>
    </row>
    <row r="318" spans="1:8">
      <c r="A318" s="66" t="s">
        <v>67</v>
      </c>
      <c r="B318" s="71">
        <v>2013</v>
      </c>
      <c r="C318" s="66" t="s">
        <v>224</v>
      </c>
      <c r="D318" s="88" t="s">
        <v>251</v>
      </c>
      <c r="E318" s="88" t="s">
        <v>248</v>
      </c>
      <c r="F318" s="14">
        <v>8.7887934094001121</v>
      </c>
      <c r="G318" s="14">
        <v>8.5604314616573909</v>
      </c>
      <c r="H318" s="14">
        <v>9.0047728014842239</v>
      </c>
    </row>
    <row r="319" spans="1:8">
      <c r="A319" s="66" t="s">
        <v>67</v>
      </c>
      <c r="B319" s="71">
        <v>2014</v>
      </c>
      <c r="C319" s="66" t="s">
        <v>224</v>
      </c>
      <c r="D319" s="88" t="s">
        <v>251</v>
      </c>
      <c r="E319" s="88" t="s">
        <v>248</v>
      </c>
      <c r="F319" s="14">
        <v>8.7774797418058146</v>
      </c>
      <c r="G319" s="14">
        <v>8.510233412183057</v>
      </c>
      <c r="H319" s="14">
        <v>9.0282095269016676</v>
      </c>
    </row>
    <row r="320" spans="1:8">
      <c r="A320" s="66" t="s">
        <v>67</v>
      </c>
      <c r="B320" s="71">
        <v>2015</v>
      </c>
      <c r="C320" s="66" t="s">
        <v>224</v>
      </c>
      <c r="D320" s="88" t="s">
        <v>251</v>
      </c>
      <c r="E320" s="88" t="s">
        <v>248</v>
      </c>
      <c r="F320" s="14">
        <v>8.7150236456400698</v>
      </c>
      <c r="G320" s="14">
        <v>8.4247262198515696</v>
      </c>
      <c r="H320" s="14">
        <v>8.9881191094619659</v>
      </c>
    </row>
    <row r="321" spans="1:8">
      <c r="A321" s="66" t="s">
        <v>67</v>
      </c>
      <c r="B321" s="71">
        <v>2018</v>
      </c>
      <c r="C321" s="66" t="s">
        <v>224</v>
      </c>
      <c r="D321" s="88" t="s">
        <v>251</v>
      </c>
      <c r="E321" s="88" t="s">
        <v>248</v>
      </c>
      <c r="F321" s="14">
        <v>8.6262128571428569</v>
      </c>
      <c r="G321" s="14">
        <v>8.1580764285714285</v>
      </c>
      <c r="H321" s="14">
        <v>9.0751050000000006</v>
      </c>
    </row>
    <row r="322" spans="1:8">
      <c r="A322" s="66" t="s">
        <v>67</v>
      </c>
      <c r="B322" s="71">
        <v>2004</v>
      </c>
      <c r="C322" s="66" t="s">
        <v>224</v>
      </c>
      <c r="D322" s="88" t="s">
        <v>251</v>
      </c>
      <c r="E322" s="88" t="s">
        <v>249</v>
      </c>
      <c r="F322" s="14">
        <v>5.5836721428571439</v>
      </c>
      <c r="G322" s="14">
        <v>5.8637435714285715</v>
      </c>
      <c r="H322" s="14">
        <v>5.3258964285714283</v>
      </c>
    </row>
    <row r="323" spans="1:8">
      <c r="A323" s="66" t="s">
        <v>67</v>
      </c>
      <c r="B323" s="71">
        <v>2005</v>
      </c>
      <c r="C323" s="66" t="s">
        <v>224</v>
      </c>
      <c r="D323" s="88" t="s">
        <v>251</v>
      </c>
      <c r="E323" s="88" t="s">
        <v>249</v>
      </c>
      <c r="F323" s="14">
        <v>5.5836721428571412</v>
      </c>
      <c r="G323" s="14">
        <v>5.8637435714285715</v>
      </c>
      <c r="H323" s="14">
        <v>5.3258964285714274</v>
      </c>
    </row>
    <row r="324" spans="1:8">
      <c r="A324" s="66" t="s">
        <v>67</v>
      </c>
      <c r="B324" s="71">
        <v>2006</v>
      </c>
      <c r="C324" s="66" t="s">
        <v>224</v>
      </c>
      <c r="D324" s="88" t="s">
        <v>251</v>
      </c>
      <c r="E324" s="88" t="s">
        <v>249</v>
      </c>
      <c r="F324" s="14">
        <v>5.5651941071428634</v>
      </c>
      <c r="G324" s="14">
        <v>5.8491112500000026</v>
      </c>
      <c r="H324" s="14">
        <v>5.3051064285714249</v>
      </c>
    </row>
    <row r="325" spans="1:8">
      <c r="A325" s="66" t="s">
        <v>67</v>
      </c>
      <c r="B325" s="71">
        <v>2007</v>
      </c>
      <c r="C325" s="66" t="s">
        <v>224</v>
      </c>
      <c r="D325" s="88" t="s">
        <v>251</v>
      </c>
      <c r="E325" s="88" t="s">
        <v>249</v>
      </c>
      <c r="F325" s="14">
        <v>5.4726737244898001</v>
      </c>
      <c r="G325" s="14">
        <v>5.7192501530612176</v>
      </c>
      <c r="H325" s="14">
        <v>5.247166428571421</v>
      </c>
    </row>
    <row r="326" spans="1:8">
      <c r="A326" s="66" t="s">
        <v>67</v>
      </c>
      <c r="B326" s="71">
        <v>2009</v>
      </c>
      <c r="C326" s="66" t="s">
        <v>224</v>
      </c>
      <c r="D326" s="88" t="s">
        <v>251</v>
      </c>
      <c r="E326" s="88" t="s">
        <v>249</v>
      </c>
      <c r="F326" s="14">
        <v>5.1016304591836539</v>
      </c>
      <c r="G326" s="14">
        <v>5.3055191604823886</v>
      </c>
      <c r="H326" s="14">
        <v>4.902135259740275</v>
      </c>
    </row>
    <row r="327" spans="1:8">
      <c r="A327" s="66" t="s">
        <v>67</v>
      </c>
      <c r="B327" s="71">
        <v>2011</v>
      </c>
      <c r="C327" s="66" t="s">
        <v>224</v>
      </c>
      <c r="D327" s="88" t="s">
        <v>251</v>
      </c>
      <c r="E327" s="88" t="s">
        <v>249</v>
      </c>
      <c r="F327" s="14">
        <v>4.7886138367346955</v>
      </c>
      <c r="G327" s="14">
        <v>4.9624050964749546</v>
      </c>
      <c r="H327" s="14">
        <v>4.6006889480519408</v>
      </c>
    </row>
    <row r="328" spans="1:8">
      <c r="A328" s="66" t="s">
        <v>67</v>
      </c>
      <c r="B328" s="71">
        <v>2012</v>
      </c>
      <c r="C328" s="66" t="s">
        <v>224</v>
      </c>
      <c r="D328" s="88" t="s">
        <v>251</v>
      </c>
      <c r="E328" s="88" t="s">
        <v>249</v>
      </c>
      <c r="F328" s="14">
        <v>4.7152854999999745</v>
      </c>
      <c r="G328" s="14">
        <v>4.7894345185528673</v>
      </c>
      <c r="H328" s="14">
        <v>4.63375002690168</v>
      </c>
    </row>
    <row r="329" spans="1:8">
      <c r="A329" s="66" t="s">
        <v>67</v>
      </c>
      <c r="B329" s="71">
        <v>2013</v>
      </c>
      <c r="C329" s="66" t="s">
        <v>224</v>
      </c>
      <c r="D329" s="88" t="s">
        <v>251</v>
      </c>
      <c r="E329" s="88" t="s">
        <v>249</v>
      </c>
      <c r="F329" s="14">
        <v>4.6590056156462607</v>
      </c>
      <c r="G329" s="14">
        <v>4.6393341787260383</v>
      </c>
      <c r="H329" s="14">
        <v>4.6766547962275951</v>
      </c>
    </row>
    <row r="330" spans="1:8">
      <c r="A330" s="66" t="s">
        <v>67</v>
      </c>
      <c r="B330" s="71">
        <v>2014</v>
      </c>
      <c r="C330" s="66" t="s">
        <v>224</v>
      </c>
      <c r="D330" s="88" t="s">
        <v>251</v>
      </c>
      <c r="E330" s="88" t="s">
        <v>249</v>
      </c>
      <c r="F330" s="14">
        <v>4.6767680782312908</v>
      </c>
      <c r="G330" s="14">
        <v>4.6044626144094121</v>
      </c>
      <c r="H330" s="14">
        <v>4.7567095655535097</v>
      </c>
    </row>
    <row r="331" spans="1:8">
      <c r="A331" s="66" t="s">
        <v>67</v>
      </c>
      <c r="B331" s="71">
        <v>2015</v>
      </c>
      <c r="C331" s="66" t="s">
        <v>224</v>
      </c>
      <c r="D331" s="88" t="s">
        <v>251</v>
      </c>
      <c r="E331" s="88" t="s">
        <v>249</v>
      </c>
      <c r="F331" s="14">
        <v>4.6839952551020385</v>
      </c>
      <c r="G331" s="14">
        <v>4.5489149072356234</v>
      </c>
      <c r="H331" s="14">
        <v>4.8357619063079822</v>
      </c>
    </row>
    <row r="332" spans="1:8">
      <c r="A332" s="66" t="s">
        <v>67</v>
      </c>
      <c r="B332" s="71">
        <v>2018</v>
      </c>
      <c r="C332" s="66" t="s">
        <v>224</v>
      </c>
      <c r="D332" s="88" t="s">
        <v>251</v>
      </c>
      <c r="E332" s="88" t="s">
        <v>249</v>
      </c>
      <c r="F332" s="14">
        <v>4.7149092857142865</v>
      </c>
      <c r="G332" s="14">
        <v>4.5912678571428573</v>
      </c>
      <c r="H332" s="14">
        <v>4.8506907142857134</v>
      </c>
    </row>
    <row r="333" spans="1:8">
      <c r="A333" s="66" t="s">
        <v>67</v>
      </c>
      <c r="B333" s="71">
        <v>2004</v>
      </c>
      <c r="C333" s="66" t="s">
        <v>236</v>
      </c>
      <c r="D333" s="88" t="s">
        <v>244</v>
      </c>
      <c r="E333" s="88" t="s">
        <v>245</v>
      </c>
      <c r="F333" s="14">
        <v>51.755937142857142</v>
      </c>
      <c r="G333" s="14">
        <v>54.939447857142852</v>
      </c>
      <c r="H333" s="14">
        <v>48.19281357142858</v>
      </c>
    </row>
    <row r="334" spans="1:8">
      <c r="A334" s="66" t="s">
        <v>67</v>
      </c>
      <c r="B334" s="71">
        <v>2005</v>
      </c>
      <c r="C334" s="66" t="s">
        <v>236</v>
      </c>
      <c r="D334" s="88" t="s">
        <v>244</v>
      </c>
      <c r="E334" s="88" t="s">
        <v>245</v>
      </c>
      <c r="F334" s="14">
        <v>51.755937142857142</v>
      </c>
      <c r="G334" s="14">
        <v>54.939447857142859</v>
      </c>
      <c r="H334" s="14">
        <v>48.192813571428573</v>
      </c>
    </row>
    <row r="335" spans="1:8">
      <c r="A335" s="66" t="s">
        <v>67</v>
      </c>
      <c r="B335" s="71">
        <v>2006</v>
      </c>
      <c r="C335" s="66" t="s">
        <v>236</v>
      </c>
      <c r="D335" s="88" t="s">
        <v>244</v>
      </c>
      <c r="E335" s="88" t="s">
        <v>245</v>
      </c>
      <c r="F335" s="14">
        <v>51.690721428571443</v>
      </c>
      <c r="G335" s="14">
        <v>54.858415357142817</v>
      </c>
      <c r="H335" s="14">
        <v>48.152577142857147</v>
      </c>
    </row>
    <row r="336" spans="1:8">
      <c r="A336" s="66" t="s">
        <v>67</v>
      </c>
      <c r="B336" s="71">
        <v>2007</v>
      </c>
      <c r="C336" s="66" t="s">
        <v>236</v>
      </c>
      <c r="D336" s="88" t="s">
        <v>244</v>
      </c>
      <c r="E336" s="88" t="s">
        <v>245</v>
      </c>
      <c r="F336" s="14">
        <v>51.48514193877552</v>
      </c>
      <c r="G336" s="14">
        <v>54.653663571428545</v>
      </c>
      <c r="H336" s="14">
        <v>47.963496530612233</v>
      </c>
    </row>
    <row r="337" spans="1:8">
      <c r="A337" s="66" t="s">
        <v>67</v>
      </c>
      <c r="B337" s="71">
        <v>2009</v>
      </c>
      <c r="C337" s="66" t="s">
        <v>236</v>
      </c>
      <c r="D337" s="88" t="s">
        <v>244</v>
      </c>
      <c r="E337" s="88" t="s">
        <v>245</v>
      </c>
      <c r="F337" s="14">
        <v>51.123991433209646</v>
      </c>
      <c r="G337" s="14">
        <v>54.458404610389628</v>
      </c>
      <c r="H337" s="14">
        <v>47.459129169758747</v>
      </c>
    </row>
    <row r="338" spans="1:8">
      <c r="A338" s="66" t="s">
        <v>67</v>
      </c>
      <c r="B338" s="71">
        <v>2011</v>
      </c>
      <c r="C338" s="66" t="s">
        <v>236</v>
      </c>
      <c r="D338" s="88" t="s">
        <v>244</v>
      </c>
      <c r="E338" s="88" t="s">
        <v>245</v>
      </c>
      <c r="F338" s="14">
        <v>50.326780641929581</v>
      </c>
      <c r="G338" s="14">
        <v>53.824376935064983</v>
      </c>
      <c r="H338" s="14">
        <v>46.499843523191032</v>
      </c>
    </row>
    <row r="339" spans="1:8">
      <c r="A339" s="66" t="s">
        <v>67</v>
      </c>
      <c r="B339" s="71">
        <v>2012</v>
      </c>
      <c r="C339" s="66" t="s">
        <v>236</v>
      </c>
      <c r="D339" s="88" t="s">
        <v>244</v>
      </c>
      <c r="E339" s="88" t="s">
        <v>245</v>
      </c>
      <c r="F339" s="14">
        <v>49.820144914656808</v>
      </c>
      <c r="G339" s="14">
        <v>53.271865418831155</v>
      </c>
      <c r="H339" s="14">
        <v>46.061594653988756</v>
      </c>
    </row>
    <row r="340" spans="1:8">
      <c r="A340" s="66" t="s">
        <v>67</v>
      </c>
      <c r="B340" s="71">
        <v>2013</v>
      </c>
      <c r="C340" s="66" t="s">
        <v>236</v>
      </c>
      <c r="D340" s="88" t="s">
        <v>244</v>
      </c>
      <c r="E340" s="88" t="s">
        <v>245</v>
      </c>
      <c r="F340" s="14">
        <v>49.177911687384082</v>
      </c>
      <c r="G340" s="14">
        <v>52.499232235930762</v>
      </c>
      <c r="H340" s="14">
        <v>45.57087626097708</v>
      </c>
    </row>
    <row r="341" spans="1:8">
      <c r="A341" s="66" t="s">
        <v>67</v>
      </c>
      <c r="B341" s="71">
        <v>2014</v>
      </c>
      <c r="C341" s="66" t="s">
        <v>236</v>
      </c>
      <c r="D341" s="88" t="s">
        <v>244</v>
      </c>
      <c r="E341" s="88" t="s">
        <v>245</v>
      </c>
      <c r="F341" s="14">
        <v>48.676042235621516</v>
      </c>
      <c r="G341" s="14">
        <v>51.8503183387446</v>
      </c>
      <c r="H341" s="14">
        <v>45.22900205163883</v>
      </c>
    </row>
    <row r="342" spans="1:8">
      <c r="A342" s="66" t="s">
        <v>67</v>
      </c>
      <c r="B342" s="71">
        <v>2015</v>
      </c>
      <c r="C342" s="66" t="s">
        <v>236</v>
      </c>
      <c r="D342" s="88" t="s">
        <v>244</v>
      </c>
      <c r="E342" s="88" t="s">
        <v>245</v>
      </c>
      <c r="F342" s="14">
        <v>48.457418641001858</v>
      </c>
      <c r="G342" s="14">
        <v>51.501821298701294</v>
      </c>
      <c r="H342" s="14">
        <v>45.154823413729147</v>
      </c>
    </row>
    <row r="343" spans="1:8">
      <c r="A343" s="66" t="s">
        <v>67</v>
      </c>
      <c r="B343" s="71">
        <v>2018</v>
      </c>
      <c r="C343" s="66" t="s">
        <v>236</v>
      </c>
      <c r="D343" s="88" t="s">
        <v>244</v>
      </c>
      <c r="E343" s="88" t="s">
        <v>245</v>
      </c>
      <c r="F343" s="14">
        <v>47.944482857142859</v>
      </c>
      <c r="G343" s="14">
        <v>50.606600714285719</v>
      </c>
      <c r="H343" s="14">
        <v>45.068535714285709</v>
      </c>
    </row>
    <row r="344" spans="1:8">
      <c r="A344" s="66" t="s">
        <v>67</v>
      </c>
      <c r="B344" s="71">
        <v>2004</v>
      </c>
      <c r="C344" s="66" t="s">
        <v>236</v>
      </c>
      <c r="D344" s="88" t="s">
        <v>244</v>
      </c>
      <c r="E344" s="88" t="s">
        <v>246</v>
      </c>
      <c r="F344" s="14">
        <v>42.010897857142858</v>
      </c>
      <c r="G344" s="14">
        <v>44.292316428571432</v>
      </c>
      <c r="H344" s="14">
        <v>39.420382857142855</v>
      </c>
    </row>
    <row r="345" spans="1:8">
      <c r="A345" s="66" t="s">
        <v>67</v>
      </c>
      <c r="B345" s="71">
        <v>2005</v>
      </c>
      <c r="C345" s="66" t="s">
        <v>236</v>
      </c>
      <c r="D345" s="88" t="s">
        <v>244</v>
      </c>
      <c r="E345" s="88" t="s">
        <v>246</v>
      </c>
      <c r="F345" s="14">
        <v>42.010897857142858</v>
      </c>
      <c r="G345" s="14">
        <v>44.292316428571425</v>
      </c>
      <c r="H345" s="14">
        <v>39.420382857142855</v>
      </c>
    </row>
    <row r="346" spans="1:8">
      <c r="A346" s="66" t="s">
        <v>67</v>
      </c>
      <c r="B346" s="71">
        <v>2006</v>
      </c>
      <c r="C346" s="66" t="s">
        <v>236</v>
      </c>
      <c r="D346" s="88" t="s">
        <v>244</v>
      </c>
      <c r="E346" s="88" t="s">
        <v>246</v>
      </c>
      <c r="F346" s="14">
        <v>42.001344821428575</v>
      </c>
      <c r="G346" s="14">
        <v>44.25439589285714</v>
      </c>
      <c r="H346" s="14">
        <v>39.438215000000007</v>
      </c>
    </row>
    <row r="347" spans="1:8">
      <c r="A347" s="66" t="s">
        <v>67</v>
      </c>
      <c r="B347" s="71">
        <v>2007</v>
      </c>
      <c r="C347" s="66" t="s">
        <v>236</v>
      </c>
      <c r="D347" s="88" t="s">
        <v>244</v>
      </c>
      <c r="E347" s="88" t="s">
        <v>246</v>
      </c>
      <c r="F347" s="14">
        <v>41.872715663265289</v>
      </c>
      <c r="G347" s="14">
        <v>44.116913724489756</v>
      </c>
      <c r="H347" s="14">
        <v>39.339085204081648</v>
      </c>
    </row>
    <row r="348" spans="1:8">
      <c r="A348" s="66" t="s">
        <v>67</v>
      </c>
      <c r="B348" s="71">
        <v>2009</v>
      </c>
      <c r="C348" s="66" t="s">
        <v>236</v>
      </c>
      <c r="D348" s="88" t="s">
        <v>244</v>
      </c>
      <c r="E348" s="88" t="s">
        <v>246</v>
      </c>
      <c r="F348" s="14">
        <v>41.259414587198478</v>
      </c>
      <c r="G348" s="14">
        <v>43.556090556586206</v>
      </c>
      <c r="H348" s="14">
        <v>38.741641391465748</v>
      </c>
    </row>
    <row r="349" spans="1:8">
      <c r="A349" s="66" t="s">
        <v>67</v>
      </c>
      <c r="B349" s="71">
        <v>2011</v>
      </c>
      <c r="C349" s="66" t="s">
        <v>236</v>
      </c>
      <c r="D349" s="88" t="s">
        <v>244</v>
      </c>
      <c r="E349" s="88" t="s">
        <v>246</v>
      </c>
      <c r="F349" s="14">
        <v>40.273813296846008</v>
      </c>
      <c r="G349" s="14">
        <v>42.605125317254142</v>
      </c>
      <c r="H349" s="14">
        <v>37.787701864563971</v>
      </c>
    </row>
    <row r="350" spans="1:8">
      <c r="A350" s="66" t="s">
        <v>67</v>
      </c>
      <c r="B350" s="71">
        <v>2012</v>
      </c>
      <c r="C350" s="66" t="s">
        <v>236</v>
      </c>
      <c r="D350" s="88" t="s">
        <v>244</v>
      </c>
      <c r="E350" s="88" t="s">
        <v>246</v>
      </c>
      <c r="F350" s="14">
        <v>39.888169845547324</v>
      </c>
      <c r="G350" s="14">
        <v>42.160938947588065</v>
      </c>
      <c r="H350" s="14">
        <v>37.473593759276405</v>
      </c>
    </row>
    <row r="351" spans="1:8">
      <c r="A351" s="66" t="s">
        <v>67</v>
      </c>
      <c r="B351" s="71">
        <v>2013</v>
      </c>
      <c r="C351" s="66" t="s">
        <v>236</v>
      </c>
      <c r="D351" s="88" t="s">
        <v>244</v>
      </c>
      <c r="E351" s="88" t="s">
        <v>246</v>
      </c>
      <c r="F351" s="14">
        <v>39.464206870439106</v>
      </c>
      <c r="G351" s="14">
        <v>41.648331982683963</v>
      </c>
      <c r="H351" s="14">
        <v>37.145733034941195</v>
      </c>
    </row>
    <row r="352" spans="1:8">
      <c r="A352" s="66" t="s">
        <v>67</v>
      </c>
      <c r="B352" s="71">
        <v>2014</v>
      </c>
      <c r="C352" s="66" t="s">
        <v>236</v>
      </c>
      <c r="D352" s="88" t="s">
        <v>244</v>
      </c>
      <c r="E352" s="88" t="s">
        <v>246</v>
      </c>
      <c r="F352" s="14">
        <v>39.159320017779848</v>
      </c>
      <c r="G352" s="14">
        <v>41.23528665043289</v>
      </c>
      <c r="H352" s="14">
        <v>36.934834249381588</v>
      </c>
    </row>
    <row r="353" spans="1:8">
      <c r="A353" s="66" t="s">
        <v>67</v>
      </c>
      <c r="B353" s="71">
        <v>2015</v>
      </c>
      <c r="C353" s="66" t="s">
        <v>236</v>
      </c>
      <c r="D353" s="88" t="s">
        <v>244</v>
      </c>
      <c r="E353" s="88" t="s">
        <v>246</v>
      </c>
      <c r="F353" s="14">
        <v>39.050136307977724</v>
      </c>
      <c r="G353" s="14">
        <v>41.055232889610387</v>
      </c>
      <c r="H353" s="14">
        <v>36.8843511781076</v>
      </c>
    </row>
    <row r="354" spans="1:8">
      <c r="A354" s="66" t="s">
        <v>67</v>
      </c>
      <c r="B354" s="71">
        <v>2018</v>
      </c>
      <c r="C354" s="66" t="s">
        <v>236</v>
      </c>
      <c r="D354" s="88" t="s">
        <v>244</v>
      </c>
      <c r="E354" s="88" t="s">
        <v>246</v>
      </c>
      <c r="F354" s="14">
        <v>38.695041428571422</v>
      </c>
      <c r="G354" s="14">
        <v>40.589354285714286</v>
      </c>
      <c r="H354" s="14">
        <v>36.623950000000001</v>
      </c>
    </row>
    <row r="355" spans="1:8">
      <c r="A355" s="66" t="s">
        <v>67</v>
      </c>
      <c r="B355" s="71">
        <v>2004</v>
      </c>
      <c r="C355" s="66" t="s">
        <v>236</v>
      </c>
      <c r="D355" s="88" t="s">
        <v>244</v>
      </c>
      <c r="E355" s="88" t="s">
        <v>247</v>
      </c>
      <c r="F355" s="14">
        <v>35.462863571428571</v>
      </c>
      <c r="G355" s="14">
        <v>36.155614285714286</v>
      </c>
      <c r="H355" s="14">
        <v>34.553953571428572</v>
      </c>
    </row>
    <row r="356" spans="1:8">
      <c r="A356" s="66" t="s">
        <v>67</v>
      </c>
      <c r="B356" s="71">
        <v>2005</v>
      </c>
      <c r="C356" s="66" t="s">
        <v>236</v>
      </c>
      <c r="D356" s="88" t="s">
        <v>244</v>
      </c>
      <c r="E356" s="88" t="s">
        <v>247</v>
      </c>
      <c r="F356" s="14">
        <v>35.462863571428571</v>
      </c>
      <c r="G356" s="14">
        <v>36.155614285714293</v>
      </c>
      <c r="H356" s="14">
        <v>34.553953571428572</v>
      </c>
    </row>
    <row r="357" spans="1:8">
      <c r="A357" s="66" t="s">
        <v>67</v>
      </c>
      <c r="B357" s="71">
        <v>2006</v>
      </c>
      <c r="C357" s="66" t="s">
        <v>236</v>
      </c>
      <c r="D357" s="88" t="s">
        <v>244</v>
      </c>
      <c r="E357" s="88" t="s">
        <v>247</v>
      </c>
      <c r="F357" s="14">
        <v>35.435434999999998</v>
      </c>
      <c r="G357" s="14">
        <v>36.109942142857143</v>
      </c>
      <c r="H357" s="14">
        <v>34.548870000000001</v>
      </c>
    </row>
    <row r="358" spans="1:8">
      <c r="A358" s="66" t="s">
        <v>67</v>
      </c>
      <c r="B358" s="71">
        <v>2007</v>
      </c>
      <c r="C358" s="66" t="s">
        <v>236</v>
      </c>
      <c r="D358" s="88" t="s">
        <v>244</v>
      </c>
      <c r="E358" s="88" t="s">
        <v>247</v>
      </c>
      <c r="F358" s="14">
        <v>35.260958469387745</v>
      </c>
      <c r="G358" s="14">
        <v>35.920579489795884</v>
      </c>
      <c r="H358" s="14">
        <v>34.368885918367361</v>
      </c>
    </row>
    <row r="359" spans="1:8">
      <c r="A359" s="66" t="s">
        <v>67</v>
      </c>
      <c r="B359" s="71">
        <v>2009</v>
      </c>
      <c r="C359" s="66" t="s">
        <v>236</v>
      </c>
      <c r="D359" s="88" t="s">
        <v>244</v>
      </c>
      <c r="E359" s="88" t="s">
        <v>247</v>
      </c>
      <c r="F359" s="14">
        <v>34.571071447124226</v>
      </c>
      <c r="G359" s="14">
        <v>35.415298794063048</v>
      </c>
      <c r="H359" s="14">
        <v>33.42244944341369</v>
      </c>
    </row>
    <row r="360" spans="1:8">
      <c r="A360" s="66" t="s">
        <v>67</v>
      </c>
      <c r="B360" s="71">
        <v>2011</v>
      </c>
      <c r="C360" s="66" t="s">
        <v>236</v>
      </c>
      <c r="D360" s="88" t="s">
        <v>244</v>
      </c>
      <c r="E360" s="88" t="s">
        <v>247</v>
      </c>
      <c r="F360" s="14">
        <v>33.661682710575107</v>
      </c>
      <c r="G360" s="14">
        <v>34.772942384044519</v>
      </c>
      <c r="H360" s="14">
        <v>32.172547254174482</v>
      </c>
    </row>
    <row r="361" spans="1:8">
      <c r="A361" s="66" t="s">
        <v>67</v>
      </c>
      <c r="B361" s="71">
        <v>2012</v>
      </c>
      <c r="C361" s="66" t="s">
        <v>236</v>
      </c>
      <c r="D361" s="88" t="s">
        <v>244</v>
      </c>
      <c r="E361" s="88" t="s">
        <v>247</v>
      </c>
      <c r="F361" s="14">
        <v>33.194674439239336</v>
      </c>
      <c r="G361" s="14">
        <v>34.261243439239287</v>
      </c>
      <c r="H361" s="14">
        <v>31.723357333024211</v>
      </c>
    </row>
    <row r="362" spans="1:8">
      <c r="A362" s="66" t="s">
        <v>67</v>
      </c>
      <c r="B362" s="71">
        <v>2013</v>
      </c>
      <c r="C362" s="66" t="s">
        <v>236</v>
      </c>
      <c r="D362" s="88" t="s">
        <v>244</v>
      </c>
      <c r="E362" s="88" t="s">
        <v>247</v>
      </c>
      <c r="F362" s="14">
        <v>32.678631405998715</v>
      </c>
      <c r="G362" s="14">
        <v>33.688199851577032</v>
      </c>
      <c r="H362" s="14">
        <v>31.253404078540523</v>
      </c>
    </row>
    <row r="363" spans="1:8">
      <c r="A363" s="66" t="s">
        <v>67</v>
      </c>
      <c r="B363" s="71">
        <v>2014</v>
      </c>
      <c r="C363" s="66" t="s">
        <v>236</v>
      </c>
      <c r="D363" s="88" t="s">
        <v>244</v>
      </c>
      <c r="E363" s="88" t="s">
        <v>247</v>
      </c>
      <c r="F363" s="14">
        <v>32.30963633194181</v>
      </c>
      <c r="G363" s="14">
        <v>33.258846774118759</v>
      </c>
      <c r="H363" s="14">
        <v>30.958351334260982</v>
      </c>
    </row>
    <row r="364" spans="1:8">
      <c r="A364" s="66" t="s">
        <v>67</v>
      </c>
      <c r="B364" s="71">
        <v>2015</v>
      </c>
      <c r="C364" s="66" t="s">
        <v>236</v>
      </c>
      <c r="D364" s="88" t="s">
        <v>244</v>
      </c>
      <c r="E364" s="88" t="s">
        <v>247</v>
      </c>
      <c r="F364" s="14">
        <v>32.077820686456377</v>
      </c>
      <c r="G364" s="14">
        <v>32.943703696660506</v>
      </c>
      <c r="H364" s="14">
        <v>30.820115018552883</v>
      </c>
    </row>
    <row r="365" spans="1:8">
      <c r="A365" s="66" t="s">
        <v>67</v>
      </c>
      <c r="B365" s="71">
        <v>2018</v>
      </c>
      <c r="C365" s="66" t="s">
        <v>236</v>
      </c>
      <c r="D365" s="88" t="s">
        <v>244</v>
      </c>
      <c r="E365" s="88" t="s">
        <v>247</v>
      </c>
      <c r="F365" s="14">
        <v>31.651476428571431</v>
      </c>
      <c r="G365" s="14">
        <v>32.45791357142857</v>
      </c>
      <c r="H365" s="14">
        <v>30.504756428571426</v>
      </c>
    </row>
    <row r="366" spans="1:8">
      <c r="A366" s="66" t="s">
        <v>67</v>
      </c>
      <c r="B366" s="71">
        <v>2004</v>
      </c>
      <c r="C366" s="66" t="s">
        <v>236</v>
      </c>
      <c r="D366" s="88" t="s">
        <v>244</v>
      </c>
      <c r="E366" s="88" t="s">
        <v>248</v>
      </c>
      <c r="F366" s="14">
        <v>27.525574999999996</v>
      </c>
      <c r="G366" s="14">
        <v>27.923972857142854</v>
      </c>
      <c r="H366" s="14">
        <v>26.948969999999999</v>
      </c>
    </row>
    <row r="367" spans="1:8">
      <c r="A367" s="66" t="s">
        <v>67</v>
      </c>
      <c r="B367" s="71">
        <v>2005</v>
      </c>
      <c r="C367" s="66" t="s">
        <v>236</v>
      </c>
      <c r="D367" s="88" t="s">
        <v>244</v>
      </c>
      <c r="E367" s="88" t="s">
        <v>248</v>
      </c>
      <c r="F367" s="14">
        <v>27.525575000000003</v>
      </c>
      <c r="G367" s="14">
        <v>27.923972857142854</v>
      </c>
      <c r="H367" s="14">
        <v>26.948969999999999</v>
      </c>
    </row>
    <row r="368" spans="1:8">
      <c r="A368" s="66" t="s">
        <v>67</v>
      </c>
      <c r="B368" s="71">
        <v>2006</v>
      </c>
      <c r="C368" s="66" t="s">
        <v>236</v>
      </c>
      <c r="D368" s="88" t="s">
        <v>244</v>
      </c>
      <c r="E368" s="88" t="s">
        <v>248</v>
      </c>
      <c r="F368" s="14">
        <v>27.598603928571436</v>
      </c>
      <c r="G368" s="14">
        <v>27.943266071428564</v>
      </c>
      <c r="H368" s="14">
        <v>27.075268035714277</v>
      </c>
    </row>
    <row r="369" spans="1:8">
      <c r="A369" s="66" t="s">
        <v>67</v>
      </c>
      <c r="B369" s="71">
        <v>2007</v>
      </c>
      <c r="C369" s="66" t="s">
        <v>236</v>
      </c>
      <c r="D369" s="88" t="s">
        <v>244</v>
      </c>
      <c r="E369" s="88" t="s">
        <v>248</v>
      </c>
      <c r="F369" s="14">
        <v>27.572416530612276</v>
      </c>
      <c r="G369" s="14">
        <v>27.827183571428606</v>
      </c>
      <c r="H369" s="14">
        <v>27.138764642857154</v>
      </c>
    </row>
    <row r="370" spans="1:8">
      <c r="A370" s="66" t="s">
        <v>67</v>
      </c>
      <c r="B370" s="71">
        <v>2009</v>
      </c>
      <c r="C370" s="66" t="s">
        <v>236</v>
      </c>
      <c r="D370" s="88" t="s">
        <v>244</v>
      </c>
      <c r="E370" s="88" t="s">
        <v>248</v>
      </c>
      <c r="F370" s="14">
        <v>27.222527384044533</v>
      </c>
      <c r="G370" s="14">
        <v>27.320392240259782</v>
      </c>
      <c r="H370" s="14">
        <v>26.938886396103928</v>
      </c>
    </row>
    <row r="371" spans="1:8">
      <c r="A371" s="66" t="s">
        <v>67</v>
      </c>
      <c r="B371" s="71">
        <v>2011</v>
      </c>
      <c r="C371" s="66" t="s">
        <v>236</v>
      </c>
      <c r="D371" s="88" t="s">
        <v>244</v>
      </c>
      <c r="E371" s="88" t="s">
        <v>248</v>
      </c>
      <c r="F371" s="14">
        <v>26.686974666048233</v>
      </c>
      <c r="G371" s="14">
        <v>26.802717337662365</v>
      </c>
      <c r="H371" s="14">
        <v>26.366331792207784</v>
      </c>
    </row>
    <row r="372" spans="1:8">
      <c r="A372" s="66" t="s">
        <v>67</v>
      </c>
      <c r="B372" s="71">
        <v>2012</v>
      </c>
      <c r="C372" s="66" t="s">
        <v>236</v>
      </c>
      <c r="D372" s="88" t="s">
        <v>244</v>
      </c>
      <c r="E372" s="88" t="s">
        <v>248</v>
      </c>
      <c r="F372" s="14">
        <v>26.481593715213368</v>
      </c>
      <c r="G372" s="14">
        <v>26.542810217996298</v>
      </c>
      <c r="H372" s="14">
        <v>26.230513367810762</v>
      </c>
    </row>
    <row r="373" spans="1:8">
      <c r="A373" s="66" t="s">
        <v>67</v>
      </c>
      <c r="B373" s="71">
        <v>2013</v>
      </c>
      <c r="C373" s="66" t="s">
        <v>236</v>
      </c>
      <c r="D373" s="88" t="s">
        <v>244</v>
      </c>
      <c r="E373" s="88" t="s">
        <v>248</v>
      </c>
      <c r="F373" s="14">
        <v>26.231034907235586</v>
      </c>
      <c r="G373" s="14">
        <v>26.194942384044559</v>
      </c>
      <c r="H373" s="14">
        <v>26.080815776747006</v>
      </c>
    </row>
    <row r="374" spans="1:8">
      <c r="A374" s="66" t="s">
        <v>67</v>
      </c>
      <c r="B374" s="71">
        <v>2014</v>
      </c>
      <c r="C374" s="66" t="s">
        <v>236</v>
      </c>
      <c r="D374" s="88" t="s">
        <v>244</v>
      </c>
      <c r="E374" s="88" t="s">
        <v>248</v>
      </c>
      <c r="F374" s="14">
        <v>26.079692425788476</v>
      </c>
      <c r="G374" s="14">
        <v>25.982450264378485</v>
      </c>
      <c r="H374" s="14">
        <v>25.993919614254768</v>
      </c>
    </row>
    <row r="375" spans="1:8">
      <c r="A375" s="66" t="s">
        <v>67</v>
      </c>
      <c r="B375" s="71">
        <v>2015</v>
      </c>
      <c r="C375" s="66" t="s">
        <v>236</v>
      </c>
      <c r="D375" s="88" t="s">
        <v>244</v>
      </c>
      <c r="E375" s="88" t="s">
        <v>248</v>
      </c>
      <c r="F375" s="14">
        <v>25.948152801484213</v>
      </c>
      <c r="G375" s="14">
        <v>25.756106716141034</v>
      </c>
      <c r="H375" s="14">
        <v>25.967063594619642</v>
      </c>
    </row>
    <row r="376" spans="1:8">
      <c r="A376" s="66" t="s">
        <v>67</v>
      </c>
      <c r="B376" s="71">
        <v>2018</v>
      </c>
      <c r="C376" s="66" t="s">
        <v>236</v>
      </c>
      <c r="D376" s="88" t="s">
        <v>244</v>
      </c>
      <c r="E376" s="88" t="s">
        <v>248</v>
      </c>
      <c r="F376" s="14">
        <v>25.458426428571425</v>
      </c>
      <c r="G376" s="14">
        <v>25.14081214285714</v>
      </c>
      <c r="H376" s="14">
        <v>25.580867857142859</v>
      </c>
    </row>
    <row r="377" spans="1:8">
      <c r="A377" s="66" t="s">
        <v>67</v>
      </c>
      <c r="B377" s="71">
        <v>2004</v>
      </c>
      <c r="C377" s="66" t="s">
        <v>236</v>
      </c>
      <c r="D377" s="88" t="s">
        <v>244</v>
      </c>
      <c r="E377" s="88" t="s">
        <v>249</v>
      </c>
      <c r="F377" s="14">
        <v>17.266664285714288</v>
      </c>
      <c r="G377" s="14">
        <v>17.245815714285712</v>
      </c>
      <c r="H377" s="14">
        <v>17.080760714285713</v>
      </c>
    </row>
    <row r="378" spans="1:8">
      <c r="A378" s="66" t="s">
        <v>67</v>
      </c>
      <c r="B378" s="71">
        <v>2005</v>
      </c>
      <c r="C378" s="66" t="s">
        <v>236</v>
      </c>
      <c r="D378" s="88" t="s">
        <v>244</v>
      </c>
      <c r="E378" s="88" t="s">
        <v>249</v>
      </c>
      <c r="F378" s="14">
        <v>17.266664285714288</v>
      </c>
      <c r="G378" s="14">
        <v>17.245815714285712</v>
      </c>
      <c r="H378" s="14">
        <v>17.080760714285713</v>
      </c>
    </row>
    <row r="379" spans="1:8">
      <c r="A379" s="66" t="s">
        <v>67</v>
      </c>
      <c r="B379" s="71">
        <v>2006</v>
      </c>
      <c r="C379" s="66" t="s">
        <v>236</v>
      </c>
      <c r="D379" s="88" t="s">
        <v>244</v>
      </c>
      <c r="E379" s="88" t="s">
        <v>249</v>
      </c>
      <c r="F379" s="14">
        <v>17.236792678571437</v>
      </c>
      <c r="G379" s="14">
        <v>17.265762678571431</v>
      </c>
      <c r="H379" s="14">
        <v>17.002067142857157</v>
      </c>
    </row>
    <row r="380" spans="1:8">
      <c r="A380" s="66" t="s">
        <v>67</v>
      </c>
      <c r="B380" s="71">
        <v>2007</v>
      </c>
      <c r="C380" s="66" t="s">
        <v>236</v>
      </c>
      <c r="D380" s="88" t="s">
        <v>244</v>
      </c>
      <c r="E380" s="88" t="s">
        <v>249</v>
      </c>
      <c r="F380" s="14">
        <v>17.107159540816326</v>
      </c>
      <c r="G380" s="14">
        <v>17.101571479591797</v>
      </c>
      <c r="H380" s="14">
        <v>16.923931224489817</v>
      </c>
    </row>
    <row r="381" spans="1:8">
      <c r="A381" s="66" t="s">
        <v>67</v>
      </c>
      <c r="B381" s="71">
        <v>2009</v>
      </c>
      <c r="C381" s="66" t="s">
        <v>236</v>
      </c>
      <c r="D381" s="88" t="s">
        <v>244</v>
      </c>
      <c r="E381" s="88" t="s">
        <v>249</v>
      </c>
      <c r="F381" s="14">
        <v>16.668309531539879</v>
      </c>
      <c r="G381" s="14">
        <v>16.720843399814459</v>
      </c>
      <c r="H381" s="14">
        <v>16.451876270871967</v>
      </c>
    </row>
    <row r="382" spans="1:8">
      <c r="A382" s="66" t="s">
        <v>67</v>
      </c>
      <c r="B382" s="71">
        <v>2011</v>
      </c>
      <c r="C382" s="66" t="s">
        <v>236</v>
      </c>
      <c r="D382" s="88" t="s">
        <v>244</v>
      </c>
      <c r="E382" s="88" t="s">
        <v>249</v>
      </c>
      <c r="F382" s="14">
        <v>16.231871022263451</v>
      </c>
      <c r="G382" s="14">
        <v>16.20288082003707</v>
      </c>
      <c r="H382" s="14">
        <v>16.11914674582561</v>
      </c>
    </row>
    <row r="383" spans="1:8">
      <c r="A383" s="66" t="s">
        <v>67</v>
      </c>
      <c r="B383" s="71">
        <v>2012</v>
      </c>
      <c r="C383" s="66" t="s">
        <v>236</v>
      </c>
      <c r="D383" s="88" t="s">
        <v>244</v>
      </c>
      <c r="E383" s="88" t="s">
        <v>249</v>
      </c>
      <c r="F383" s="14">
        <v>15.922642099257914</v>
      </c>
      <c r="G383" s="14">
        <v>15.615340601576987</v>
      </c>
      <c r="H383" s="14">
        <v>16.101089075139161</v>
      </c>
    </row>
    <row r="384" spans="1:8">
      <c r="A384" s="66" t="s">
        <v>67</v>
      </c>
      <c r="B384" s="71">
        <v>2013</v>
      </c>
      <c r="C384" s="66" t="s">
        <v>236</v>
      </c>
      <c r="D384" s="88" t="s">
        <v>244</v>
      </c>
      <c r="E384" s="88" t="s">
        <v>249</v>
      </c>
      <c r="F384" s="14">
        <v>15.609057938157104</v>
      </c>
      <c r="G384" s="14">
        <v>15.050140740259712</v>
      </c>
      <c r="H384" s="14">
        <v>16.056778547309829</v>
      </c>
    </row>
    <row r="385" spans="1:8">
      <c r="A385" s="66" t="s">
        <v>67</v>
      </c>
      <c r="B385" s="71">
        <v>2014</v>
      </c>
      <c r="C385" s="66" t="s">
        <v>236</v>
      </c>
      <c r="D385" s="88" t="s">
        <v>244</v>
      </c>
      <c r="E385" s="88" t="s">
        <v>249</v>
      </c>
      <c r="F385" s="14">
        <v>15.395235307668546</v>
      </c>
      <c r="G385" s="14">
        <v>14.66907904220778</v>
      </c>
      <c r="H385" s="14">
        <v>16.011910366419297</v>
      </c>
    </row>
    <row r="386" spans="1:8">
      <c r="A386" s="66" t="s">
        <v>67</v>
      </c>
      <c r="B386" s="71">
        <v>2015</v>
      </c>
      <c r="C386" s="66" t="s">
        <v>236</v>
      </c>
      <c r="D386" s="88" t="s">
        <v>244</v>
      </c>
      <c r="E386" s="88" t="s">
        <v>249</v>
      </c>
      <c r="F386" s="14">
        <v>15.210078534322832</v>
      </c>
      <c r="G386" s="14">
        <v>14.336687629870145</v>
      </c>
      <c r="H386" s="14">
        <v>15.976073042671615</v>
      </c>
    </row>
    <row r="387" spans="1:8">
      <c r="A387" s="66" t="s">
        <v>67</v>
      </c>
      <c r="B387" s="71">
        <v>2018</v>
      </c>
      <c r="C387" s="66" t="s">
        <v>236</v>
      </c>
      <c r="D387" s="88" t="s">
        <v>244</v>
      </c>
      <c r="E387" s="88" t="s">
        <v>249</v>
      </c>
      <c r="F387" s="14">
        <v>15.033762142857144</v>
      </c>
      <c r="G387" s="14">
        <v>13.938021428571428</v>
      </c>
      <c r="H387" s="14">
        <v>16.026927857142855</v>
      </c>
    </row>
    <row r="388" spans="1:8">
      <c r="A388" s="66" t="s">
        <v>67</v>
      </c>
      <c r="B388" s="71">
        <v>2004</v>
      </c>
      <c r="C388" s="66" t="s">
        <v>236</v>
      </c>
      <c r="D388" s="88" t="s">
        <v>250</v>
      </c>
      <c r="E388" s="88" t="s">
        <v>245</v>
      </c>
      <c r="F388" s="14">
        <v>49.731475000000003</v>
      </c>
      <c r="G388" s="14">
        <v>54.476681428571439</v>
      </c>
      <c r="H388" s="14">
        <v>44.334935000000009</v>
      </c>
    </row>
    <row r="389" spans="1:8">
      <c r="A389" s="66" t="s">
        <v>67</v>
      </c>
      <c r="B389" s="71">
        <v>2005</v>
      </c>
      <c r="C389" s="66" t="s">
        <v>236</v>
      </c>
      <c r="D389" s="88" t="s">
        <v>250</v>
      </c>
      <c r="E389" s="88" t="s">
        <v>245</v>
      </c>
      <c r="F389" s="14">
        <v>49.731474999999996</v>
      </c>
      <c r="G389" s="14">
        <v>54.476681428571432</v>
      </c>
      <c r="H389" s="14">
        <v>44.334935000000009</v>
      </c>
    </row>
    <row r="390" spans="1:8">
      <c r="A390" s="66" t="s">
        <v>67</v>
      </c>
      <c r="B390" s="71">
        <v>2006</v>
      </c>
      <c r="C390" s="66" t="s">
        <v>236</v>
      </c>
      <c r="D390" s="88" t="s">
        <v>250</v>
      </c>
      <c r="E390" s="88" t="s">
        <v>245</v>
      </c>
      <c r="F390" s="14">
        <v>49.667536071428565</v>
      </c>
      <c r="G390" s="14">
        <v>54.403551785714292</v>
      </c>
      <c r="H390" s="14">
        <v>44.288479107142848</v>
      </c>
    </row>
    <row r="391" spans="1:8">
      <c r="A391" s="66" t="s">
        <v>67</v>
      </c>
      <c r="B391" s="71">
        <v>2007</v>
      </c>
      <c r="C391" s="66" t="s">
        <v>236</v>
      </c>
      <c r="D391" s="88" t="s">
        <v>250</v>
      </c>
      <c r="E391" s="88" t="s">
        <v>245</v>
      </c>
      <c r="F391" s="14">
        <v>49.467343469387764</v>
      </c>
      <c r="G391" s="14">
        <v>54.215533673469416</v>
      </c>
      <c r="H391" s="14">
        <v>44.096756377550996</v>
      </c>
    </row>
    <row r="392" spans="1:8">
      <c r="A392" s="66" t="s">
        <v>67</v>
      </c>
      <c r="B392" s="71">
        <v>2009</v>
      </c>
      <c r="C392" s="66" t="s">
        <v>236</v>
      </c>
      <c r="D392" s="88" t="s">
        <v>250</v>
      </c>
      <c r="E392" s="88" t="s">
        <v>245</v>
      </c>
      <c r="F392" s="14">
        <v>49.072689823747687</v>
      </c>
      <c r="G392" s="14">
        <v>53.977970955473104</v>
      </c>
      <c r="H392" s="14">
        <v>43.574331437847825</v>
      </c>
    </row>
    <row r="393" spans="1:8">
      <c r="A393" s="66" t="s">
        <v>67</v>
      </c>
      <c r="B393" s="71">
        <v>2011</v>
      </c>
      <c r="C393" s="66" t="s">
        <v>236</v>
      </c>
      <c r="D393" s="88" t="s">
        <v>250</v>
      </c>
      <c r="E393" s="88" t="s">
        <v>245</v>
      </c>
      <c r="F393" s="14">
        <v>48.22795060667903</v>
      </c>
      <c r="G393" s="14">
        <v>53.258197523191164</v>
      </c>
      <c r="H393" s="14">
        <v>42.615345141001868</v>
      </c>
    </row>
    <row r="394" spans="1:8">
      <c r="A394" s="66" t="s">
        <v>67</v>
      </c>
      <c r="B394" s="71">
        <v>2012</v>
      </c>
      <c r="C394" s="66" t="s">
        <v>236</v>
      </c>
      <c r="D394" s="88" t="s">
        <v>250</v>
      </c>
      <c r="E394" s="88" t="s">
        <v>245</v>
      </c>
      <c r="F394" s="14">
        <v>47.688248243042743</v>
      </c>
      <c r="G394" s="14">
        <v>52.64713593460111</v>
      </c>
      <c r="H394" s="14">
        <v>42.176442477272715</v>
      </c>
    </row>
    <row r="395" spans="1:8">
      <c r="A395" s="66" t="s">
        <v>67</v>
      </c>
      <c r="B395" s="71">
        <v>2013</v>
      </c>
      <c r="C395" s="66" t="s">
        <v>236</v>
      </c>
      <c r="D395" s="88" t="s">
        <v>250</v>
      </c>
      <c r="E395" s="88" t="s">
        <v>245</v>
      </c>
      <c r="F395" s="14">
        <v>47.017146831787365</v>
      </c>
      <c r="G395" s="14">
        <v>51.832491607915884</v>
      </c>
      <c r="H395" s="14">
        <v>41.677919813543596</v>
      </c>
    </row>
    <row r="396" spans="1:8">
      <c r="A396" s="66" t="s">
        <v>67</v>
      </c>
      <c r="B396" s="71">
        <v>2014</v>
      </c>
      <c r="C396" s="66" t="s">
        <v>236</v>
      </c>
      <c r="D396" s="88" t="s">
        <v>250</v>
      </c>
      <c r="E396" s="88" t="s">
        <v>245</v>
      </c>
      <c r="F396" s="14">
        <v>46.482299094001256</v>
      </c>
      <c r="G396" s="14">
        <v>51.132735750618473</v>
      </c>
      <c r="H396" s="14">
        <v>41.324663986549162</v>
      </c>
    </row>
    <row r="397" spans="1:8">
      <c r="A397" s="66" t="s">
        <v>67</v>
      </c>
      <c r="B397" s="71">
        <v>2015</v>
      </c>
      <c r="C397" s="66" t="s">
        <v>236</v>
      </c>
      <c r="D397" s="88" t="s">
        <v>250</v>
      </c>
      <c r="E397" s="88" t="s">
        <v>245</v>
      </c>
      <c r="F397" s="14">
        <v>46.236433070500951</v>
      </c>
      <c r="G397" s="14">
        <v>50.747214893320987</v>
      </c>
      <c r="H397" s="14">
        <v>41.236144730983291</v>
      </c>
    </row>
    <row r="398" spans="1:8">
      <c r="A398" s="66" t="s">
        <v>67</v>
      </c>
      <c r="B398" s="71">
        <v>2018</v>
      </c>
      <c r="C398" s="66" t="s">
        <v>236</v>
      </c>
      <c r="D398" s="88" t="s">
        <v>250</v>
      </c>
      <c r="E398" s="88" t="s">
        <v>245</v>
      </c>
      <c r="F398" s="14">
        <v>45.612451428571426</v>
      </c>
      <c r="G398" s="14">
        <v>49.742195714285721</v>
      </c>
      <c r="H398" s="14">
        <v>41.04848785714286</v>
      </c>
    </row>
    <row r="399" spans="1:8">
      <c r="A399" s="66" t="s">
        <v>67</v>
      </c>
      <c r="B399" s="71">
        <v>2004</v>
      </c>
      <c r="C399" s="66" t="s">
        <v>236</v>
      </c>
      <c r="D399" s="88" t="s">
        <v>250</v>
      </c>
      <c r="E399" s="88" t="s">
        <v>246</v>
      </c>
      <c r="F399" s="14">
        <v>43.525262142857152</v>
      </c>
      <c r="G399" s="14">
        <v>47.094069285714284</v>
      </c>
      <c r="H399" s="14">
        <v>39.526060000000008</v>
      </c>
    </row>
    <row r="400" spans="1:8">
      <c r="A400" s="66" t="s">
        <v>67</v>
      </c>
      <c r="B400" s="71">
        <v>2005</v>
      </c>
      <c r="C400" s="66" t="s">
        <v>236</v>
      </c>
      <c r="D400" s="88" t="s">
        <v>250</v>
      </c>
      <c r="E400" s="88" t="s">
        <v>246</v>
      </c>
      <c r="F400" s="14">
        <v>43.525262142857152</v>
      </c>
      <c r="G400" s="14">
        <v>47.094069285714284</v>
      </c>
      <c r="H400" s="14">
        <v>39.526059999999994</v>
      </c>
    </row>
    <row r="401" spans="1:8">
      <c r="A401" s="66" t="s">
        <v>67</v>
      </c>
      <c r="B401" s="71">
        <v>2006</v>
      </c>
      <c r="C401" s="66" t="s">
        <v>236</v>
      </c>
      <c r="D401" s="88" t="s">
        <v>250</v>
      </c>
      <c r="E401" s="88" t="s">
        <v>246</v>
      </c>
      <c r="F401" s="14">
        <v>43.537733571428575</v>
      </c>
      <c r="G401" s="14">
        <v>47.090596607142857</v>
      </c>
      <c r="H401" s="14">
        <v>39.553336785714286</v>
      </c>
    </row>
    <row r="402" spans="1:8">
      <c r="A402" s="66" t="s">
        <v>67</v>
      </c>
      <c r="B402" s="71">
        <v>2007</v>
      </c>
      <c r="C402" s="66" t="s">
        <v>236</v>
      </c>
      <c r="D402" s="88" t="s">
        <v>250</v>
      </c>
      <c r="E402" s="88" t="s">
        <v>246</v>
      </c>
      <c r="F402" s="14">
        <v>43.430272653061238</v>
      </c>
      <c r="G402" s="14">
        <v>46.983846581632648</v>
      </c>
      <c r="H402" s="14">
        <v>39.46732061224494</v>
      </c>
    </row>
    <row r="403" spans="1:8">
      <c r="A403" s="66" t="s">
        <v>67</v>
      </c>
      <c r="B403" s="71">
        <v>2009</v>
      </c>
      <c r="C403" s="66" t="s">
        <v>236</v>
      </c>
      <c r="D403" s="88" t="s">
        <v>250</v>
      </c>
      <c r="E403" s="88" t="s">
        <v>246</v>
      </c>
      <c r="F403" s="14">
        <v>42.914093770872057</v>
      </c>
      <c r="G403" s="14">
        <v>46.454806628014829</v>
      </c>
      <c r="H403" s="14">
        <v>39.047537843228206</v>
      </c>
    </row>
    <row r="404" spans="1:8">
      <c r="A404" s="66" t="s">
        <v>67</v>
      </c>
      <c r="B404" s="71">
        <v>2011</v>
      </c>
      <c r="C404" s="66" t="s">
        <v>236</v>
      </c>
      <c r="D404" s="88" t="s">
        <v>250</v>
      </c>
      <c r="E404" s="88" t="s">
        <v>246</v>
      </c>
      <c r="F404" s="14">
        <v>41.966140888682695</v>
      </c>
      <c r="G404" s="14">
        <v>45.446005460111323</v>
      </c>
      <c r="H404" s="14">
        <v>38.244813502782918</v>
      </c>
    </row>
    <row r="405" spans="1:8">
      <c r="A405" s="66" t="s">
        <v>67</v>
      </c>
      <c r="B405" s="71">
        <v>2012</v>
      </c>
      <c r="C405" s="66" t="s">
        <v>236</v>
      </c>
      <c r="D405" s="88" t="s">
        <v>250</v>
      </c>
      <c r="E405" s="88" t="s">
        <v>246</v>
      </c>
      <c r="F405" s="14">
        <v>41.620279498608546</v>
      </c>
      <c r="G405" s="14">
        <v>44.87945686595549</v>
      </c>
      <c r="H405" s="14">
        <v>38.146372914192952</v>
      </c>
    </row>
    <row r="406" spans="1:8">
      <c r="A406" s="66" t="s">
        <v>67</v>
      </c>
      <c r="B406" s="71">
        <v>2013</v>
      </c>
      <c r="C406" s="66" t="s">
        <v>236</v>
      </c>
      <c r="D406" s="88" t="s">
        <v>250</v>
      </c>
      <c r="E406" s="88" t="s">
        <v>246</v>
      </c>
      <c r="F406" s="14">
        <v>41.25269870377241</v>
      </c>
      <c r="G406" s="14">
        <v>44.182438271799676</v>
      </c>
      <c r="H406" s="14">
        <v>38.11872339703153</v>
      </c>
    </row>
    <row r="407" spans="1:8">
      <c r="A407" s="66" t="s">
        <v>67</v>
      </c>
      <c r="B407" s="71">
        <v>2014</v>
      </c>
      <c r="C407" s="66" t="s">
        <v>236</v>
      </c>
      <c r="D407" s="88" t="s">
        <v>250</v>
      </c>
      <c r="E407" s="88" t="s">
        <v>246</v>
      </c>
      <c r="F407" s="14">
        <v>41.005050255875076</v>
      </c>
      <c r="G407" s="14">
        <v>43.588697024582551</v>
      </c>
      <c r="H407" s="14">
        <v>38.204366839053783</v>
      </c>
    </row>
    <row r="408" spans="1:8">
      <c r="A408" s="66" t="s">
        <v>67</v>
      </c>
      <c r="B408" s="71">
        <v>2015</v>
      </c>
      <c r="C408" s="66" t="s">
        <v>236</v>
      </c>
      <c r="D408" s="88" t="s">
        <v>250</v>
      </c>
      <c r="E408" s="88" t="s">
        <v>246</v>
      </c>
      <c r="F408" s="14">
        <v>40.960817379406308</v>
      </c>
      <c r="G408" s="14">
        <v>43.238309063079782</v>
      </c>
      <c r="H408" s="14">
        <v>38.454204281076052</v>
      </c>
    </row>
    <row r="409" spans="1:8">
      <c r="A409" s="66" t="s">
        <v>67</v>
      </c>
      <c r="B409" s="71">
        <v>2018</v>
      </c>
      <c r="C409" s="66" t="s">
        <v>236</v>
      </c>
      <c r="D409" s="88" t="s">
        <v>250</v>
      </c>
      <c r="E409" s="88" t="s">
        <v>246</v>
      </c>
      <c r="F409" s="14">
        <v>40.773673571428567</v>
      </c>
      <c r="G409" s="14">
        <v>42.348939999999992</v>
      </c>
      <c r="H409" s="14">
        <v>38.954817857142864</v>
      </c>
    </row>
    <row r="410" spans="1:8">
      <c r="A410" s="66" t="s">
        <v>67</v>
      </c>
      <c r="B410" s="71">
        <v>2004</v>
      </c>
      <c r="C410" s="66" t="s">
        <v>236</v>
      </c>
      <c r="D410" s="88" t="s">
        <v>250</v>
      </c>
      <c r="E410" s="88" t="s">
        <v>247</v>
      </c>
      <c r="F410" s="14">
        <v>36.425195714285721</v>
      </c>
      <c r="G410" s="14">
        <v>38.777172142857147</v>
      </c>
      <c r="H410" s="14">
        <v>33.676012142857147</v>
      </c>
    </row>
    <row r="411" spans="1:8">
      <c r="A411" s="66" t="s">
        <v>67</v>
      </c>
      <c r="B411" s="71">
        <v>2005</v>
      </c>
      <c r="C411" s="66" t="s">
        <v>236</v>
      </c>
      <c r="D411" s="88" t="s">
        <v>250</v>
      </c>
      <c r="E411" s="88" t="s">
        <v>247</v>
      </c>
      <c r="F411" s="14">
        <v>36.425195714285721</v>
      </c>
      <c r="G411" s="14">
        <v>38.77717214285714</v>
      </c>
      <c r="H411" s="14">
        <v>33.67601214285714</v>
      </c>
    </row>
    <row r="412" spans="1:8">
      <c r="A412" s="66" t="s">
        <v>67</v>
      </c>
      <c r="B412" s="71">
        <v>2006</v>
      </c>
      <c r="C412" s="66" t="s">
        <v>236</v>
      </c>
      <c r="D412" s="88" t="s">
        <v>250</v>
      </c>
      <c r="E412" s="88" t="s">
        <v>247</v>
      </c>
      <c r="F412" s="14">
        <v>36.363191071428581</v>
      </c>
      <c r="G412" s="14">
        <v>38.735237142857152</v>
      </c>
      <c r="H412" s="14">
        <v>33.590281071428556</v>
      </c>
    </row>
    <row r="413" spans="1:8">
      <c r="A413" s="66" t="s">
        <v>67</v>
      </c>
      <c r="B413" s="71">
        <v>2007</v>
      </c>
      <c r="C413" s="66" t="s">
        <v>236</v>
      </c>
      <c r="D413" s="88" t="s">
        <v>250</v>
      </c>
      <c r="E413" s="88" t="s">
        <v>247</v>
      </c>
      <c r="F413" s="14">
        <v>36.161682959183686</v>
      </c>
      <c r="G413" s="14">
        <v>38.534057551020375</v>
      </c>
      <c r="H413" s="14">
        <v>33.365477346938796</v>
      </c>
    </row>
    <row r="414" spans="1:8">
      <c r="A414" s="66" t="s">
        <v>67</v>
      </c>
      <c r="B414" s="71">
        <v>2009</v>
      </c>
      <c r="C414" s="66" t="s">
        <v>236</v>
      </c>
      <c r="D414" s="88" t="s">
        <v>250</v>
      </c>
      <c r="E414" s="88" t="s">
        <v>247</v>
      </c>
      <c r="F414" s="14">
        <v>35.324981994434161</v>
      </c>
      <c r="G414" s="14">
        <v>38.016522036178067</v>
      </c>
      <c r="H414" s="14">
        <v>32.182273599257947</v>
      </c>
    </row>
    <row r="415" spans="1:8">
      <c r="A415" s="66" t="s">
        <v>67</v>
      </c>
      <c r="B415" s="71">
        <v>2011</v>
      </c>
      <c r="C415" s="66" t="s">
        <v>236</v>
      </c>
      <c r="D415" s="88" t="s">
        <v>250</v>
      </c>
      <c r="E415" s="88" t="s">
        <v>247</v>
      </c>
      <c r="F415" s="14">
        <v>34.40654288682741</v>
      </c>
      <c r="G415" s="14">
        <v>37.374332235621502</v>
      </c>
      <c r="H415" s="14">
        <v>30.979674565862741</v>
      </c>
    </row>
    <row r="416" spans="1:8">
      <c r="A416" s="66" t="s">
        <v>67</v>
      </c>
      <c r="B416" s="71">
        <v>2012</v>
      </c>
      <c r="C416" s="66" t="s">
        <v>236</v>
      </c>
      <c r="D416" s="88" t="s">
        <v>250</v>
      </c>
      <c r="E416" s="88" t="s">
        <v>247</v>
      </c>
      <c r="F416" s="14">
        <v>34.031624506493493</v>
      </c>
      <c r="G416" s="14">
        <v>36.777060166975865</v>
      </c>
      <c r="H416" s="14">
        <v>30.769144947124328</v>
      </c>
    </row>
    <row r="417" spans="1:8">
      <c r="A417" s="66" t="s">
        <v>67</v>
      </c>
      <c r="B417" s="71">
        <v>2013</v>
      </c>
      <c r="C417" s="66" t="s">
        <v>236</v>
      </c>
      <c r="D417" s="88" t="s">
        <v>250</v>
      </c>
      <c r="E417" s="88" t="s">
        <v>247</v>
      </c>
      <c r="F417" s="14">
        <v>33.526341245207156</v>
      </c>
      <c r="G417" s="14">
        <v>35.833737622139815</v>
      </c>
      <c r="H417" s="14">
        <v>30.059791161719165</v>
      </c>
    </row>
    <row r="418" spans="1:8">
      <c r="A418" s="66" t="s">
        <v>67</v>
      </c>
      <c r="B418" s="71">
        <v>2014</v>
      </c>
      <c r="C418" s="66" t="s">
        <v>236</v>
      </c>
      <c r="D418" s="88" t="s">
        <v>250</v>
      </c>
      <c r="E418" s="88" t="s">
        <v>247</v>
      </c>
      <c r="F418" s="14">
        <v>33.160561453308638</v>
      </c>
      <c r="G418" s="14">
        <v>35.049659669140439</v>
      </c>
      <c r="H418" s="14">
        <v>29.489510029375289</v>
      </c>
    </row>
    <row r="419" spans="1:8">
      <c r="A419" s="66" t="s">
        <v>67</v>
      </c>
      <c r="B419" s="71">
        <v>2015</v>
      </c>
      <c r="C419" s="66" t="s">
        <v>236</v>
      </c>
      <c r="D419" s="88" t="s">
        <v>250</v>
      </c>
      <c r="E419" s="88" t="s">
        <v>247</v>
      </c>
      <c r="F419" s="14">
        <v>32.897655375695763</v>
      </c>
      <c r="G419" s="14">
        <v>34.369843858998181</v>
      </c>
      <c r="H419" s="14">
        <v>29.014657611317261</v>
      </c>
    </row>
    <row r="420" spans="1:8">
      <c r="A420" s="66" t="s">
        <v>67</v>
      </c>
      <c r="B420" s="71">
        <v>2018</v>
      </c>
      <c r="C420" s="66" t="s">
        <v>236</v>
      </c>
      <c r="D420" s="88" t="s">
        <v>250</v>
      </c>
      <c r="E420" s="88" t="s">
        <v>247</v>
      </c>
      <c r="F420" s="14">
        <v>32.22128285714286</v>
      </c>
      <c r="G420" s="14">
        <v>32.916350000000001</v>
      </c>
      <c r="H420" s="14">
        <v>27.392613571428576</v>
      </c>
    </row>
    <row r="421" spans="1:8">
      <c r="A421" s="66" t="s">
        <v>67</v>
      </c>
      <c r="B421" s="71">
        <v>2004</v>
      </c>
      <c r="C421" s="66" t="s">
        <v>236</v>
      </c>
      <c r="D421" s="88" t="s">
        <v>250</v>
      </c>
      <c r="E421" s="88" t="s">
        <v>248</v>
      </c>
      <c r="F421" s="14">
        <v>28.029487142857143</v>
      </c>
      <c r="G421" s="14">
        <v>26.212944285714283</v>
      </c>
      <c r="H421" s="14">
        <v>22.74506357142857</v>
      </c>
    </row>
    <row r="422" spans="1:8">
      <c r="A422" s="66" t="s">
        <v>67</v>
      </c>
      <c r="B422" s="71">
        <v>2005</v>
      </c>
      <c r="C422" s="66" t="s">
        <v>236</v>
      </c>
      <c r="D422" s="88" t="s">
        <v>250</v>
      </c>
      <c r="E422" s="88" t="s">
        <v>248</v>
      </c>
      <c r="F422" s="14">
        <v>28.029487142857143</v>
      </c>
      <c r="G422" s="14">
        <v>26.212944285714283</v>
      </c>
      <c r="H422" s="14">
        <v>22.74506357142857</v>
      </c>
    </row>
    <row r="423" spans="1:8">
      <c r="A423" s="66" t="s">
        <v>67</v>
      </c>
      <c r="B423" s="71">
        <v>2006</v>
      </c>
      <c r="C423" s="66" t="s">
        <v>236</v>
      </c>
      <c r="D423" s="88" t="s">
        <v>250</v>
      </c>
      <c r="E423" s="88" t="s">
        <v>248</v>
      </c>
      <c r="F423" s="14">
        <v>28.019187678571431</v>
      </c>
      <c r="G423" s="14">
        <v>26.219701607142856</v>
      </c>
      <c r="H423" s="14">
        <v>22.702703928571427</v>
      </c>
    </row>
    <row r="424" spans="1:8">
      <c r="A424" s="66" t="s">
        <v>67</v>
      </c>
      <c r="B424" s="71">
        <v>2007</v>
      </c>
      <c r="C424" s="66" t="s">
        <v>236</v>
      </c>
      <c r="D424" s="88" t="s">
        <v>250</v>
      </c>
      <c r="E424" s="88" t="s">
        <v>248</v>
      </c>
      <c r="F424" s="14">
        <v>27.887109744897963</v>
      </c>
      <c r="G424" s="14">
        <v>26.059614540816291</v>
      </c>
      <c r="H424" s="14">
        <v>22.587114183673481</v>
      </c>
    </row>
    <row r="425" spans="1:8">
      <c r="A425" s="66" t="s">
        <v>67</v>
      </c>
      <c r="B425" s="71">
        <v>2009</v>
      </c>
      <c r="C425" s="66" t="s">
        <v>236</v>
      </c>
      <c r="D425" s="88" t="s">
        <v>250</v>
      </c>
      <c r="E425" s="88" t="s">
        <v>248</v>
      </c>
      <c r="F425" s="14">
        <v>27.323135208719844</v>
      </c>
      <c r="G425" s="14">
        <v>25.280111576994425</v>
      </c>
      <c r="H425" s="14">
        <v>22.100275213358085</v>
      </c>
    </row>
    <row r="426" spans="1:8">
      <c r="A426" s="66" t="s">
        <v>67</v>
      </c>
      <c r="B426" s="71">
        <v>2011</v>
      </c>
      <c r="C426" s="66" t="s">
        <v>236</v>
      </c>
      <c r="D426" s="88" t="s">
        <v>250</v>
      </c>
      <c r="E426" s="88" t="s">
        <v>248</v>
      </c>
      <c r="F426" s="14">
        <v>26.772261601113176</v>
      </c>
      <c r="G426" s="14">
        <v>24.575213398886756</v>
      </c>
      <c r="H426" s="14">
        <v>21.551663528756983</v>
      </c>
    </row>
    <row r="427" spans="1:8">
      <c r="A427" s="66" t="s">
        <v>67</v>
      </c>
      <c r="B427" s="71">
        <v>2012</v>
      </c>
      <c r="C427" s="66" t="s">
        <v>236</v>
      </c>
      <c r="D427" s="88" t="s">
        <v>250</v>
      </c>
      <c r="E427" s="88" t="s">
        <v>248</v>
      </c>
      <c r="F427" s="14">
        <v>26.375400970779225</v>
      </c>
      <c r="G427" s="14">
        <v>24.301635559833009</v>
      </c>
      <c r="H427" s="14">
        <v>21.047304599721713</v>
      </c>
    </row>
    <row r="428" spans="1:8">
      <c r="A428" s="66" t="s">
        <v>67</v>
      </c>
      <c r="B428" s="71">
        <v>2013</v>
      </c>
      <c r="C428" s="66" t="s">
        <v>236</v>
      </c>
      <c r="D428" s="88" t="s">
        <v>250</v>
      </c>
      <c r="E428" s="88" t="s">
        <v>248</v>
      </c>
      <c r="F428" s="14">
        <v>25.838483792826271</v>
      </c>
      <c r="G428" s="14">
        <v>23.977439149350651</v>
      </c>
      <c r="H428" s="14">
        <v>20.294474718305448</v>
      </c>
    </row>
    <row r="429" spans="1:8">
      <c r="A429" s="66" t="s">
        <v>67</v>
      </c>
      <c r="B429" s="71">
        <v>2014</v>
      </c>
      <c r="C429" s="66" t="s">
        <v>236</v>
      </c>
      <c r="D429" s="88" t="s">
        <v>250</v>
      </c>
      <c r="E429" s="88" t="s">
        <v>248</v>
      </c>
      <c r="F429" s="14">
        <v>25.423345084260994</v>
      </c>
      <c r="G429" s="14">
        <v>23.820087126623385</v>
      </c>
      <c r="H429" s="14">
        <v>19.614874938930065</v>
      </c>
    </row>
    <row r="430" spans="1:8">
      <c r="A430" s="66" t="s">
        <v>67</v>
      </c>
      <c r="B430" s="71">
        <v>2015</v>
      </c>
      <c r="C430" s="66" t="s">
        <v>236</v>
      </c>
      <c r="D430" s="88" t="s">
        <v>250</v>
      </c>
      <c r="E430" s="88" t="s">
        <v>248</v>
      </c>
      <c r="F430" s="14">
        <v>25.011955375695788</v>
      </c>
      <c r="G430" s="14">
        <v>23.618675389610392</v>
      </c>
      <c r="H430" s="14">
        <v>19.008521159554601</v>
      </c>
    </row>
    <row r="431" spans="1:8">
      <c r="A431" s="66" t="s">
        <v>67</v>
      </c>
      <c r="B431" s="71">
        <v>2018</v>
      </c>
      <c r="C431" s="66" t="s">
        <v>236</v>
      </c>
      <c r="D431" s="88" t="s">
        <v>250</v>
      </c>
      <c r="E431" s="88" t="s">
        <v>248</v>
      </c>
      <c r="F431" s="14">
        <v>24.033454285714289</v>
      </c>
      <c r="G431" s="14">
        <v>23.069893571428569</v>
      </c>
      <c r="H431" s="14">
        <v>17.553312142857145</v>
      </c>
    </row>
    <row r="432" spans="1:8">
      <c r="A432" s="66" t="s">
        <v>67</v>
      </c>
      <c r="B432" s="71">
        <v>2004</v>
      </c>
      <c r="C432" s="66" t="s">
        <v>236</v>
      </c>
      <c r="D432" s="88" t="s">
        <v>250</v>
      </c>
      <c r="E432" s="88" t="s">
        <v>249</v>
      </c>
      <c r="F432" s="14">
        <v>14.151948571428571</v>
      </c>
      <c r="G432" s="14">
        <v>15.418613571428571</v>
      </c>
      <c r="H432" s="14">
        <v>13.004378571428569</v>
      </c>
    </row>
    <row r="433" spans="1:8">
      <c r="A433" s="66" t="s">
        <v>67</v>
      </c>
      <c r="B433" s="71">
        <v>2005</v>
      </c>
      <c r="C433" s="66" t="s">
        <v>236</v>
      </c>
      <c r="D433" s="88" t="s">
        <v>250</v>
      </c>
      <c r="E433" s="88" t="s">
        <v>249</v>
      </c>
      <c r="F433" s="14">
        <v>14.151948571428573</v>
      </c>
      <c r="G433" s="14">
        <v>15.418613571428571</v>
      </c>
      <c r="H433" s="14">
        <v>13.004378571428569</v>
      </c>
    </row>
    <row r="434" spans="1:8">
      <c r="A434" s="66" t="s">
        <v>67</v>
      </c>
      <c r="B434" s="71">
        <v>2006</v>
      </c>
      <c r="C434" s="66" t="s">
        <v>236</v>
      </c>
      <c r="D434" s="88" t="s">
        <v>250</v>
      </c>
      <c r="E434" s="88" t="s">
        <v>249</v>
      </c>
      <c r="F434" s="14">
        <v>14.124021250000007</v>
      </c>
      <c r="G434" s="14">
        <v>15.424089642857144</v>
      </c>
      <c r="H434" s="14">
        <v>12.925008392857109</v>
      </c>
    </row>
    <row r="435" spans="1:8">
      <c r="A435" s="66" t="s">
        <v>67</v>
      </c>
      <c r="B435" s="71">
        <v>2007</v>
      </c>
      <c r="C435" s="66" t="s">
        <v>236</v>
      </c>
      <c r="D435" s="88" t="s">
        <v>250</v>
      </c>
      <c r="E435" s="88" t="s">
        <v>249</v>
      </c>
      <c r="F435" s="14">
        <v>13.900021275510195</v>
      </c>
      <c r="G435" s="14">
        <v>15.180261530612187</v>
      </c>
      <c r="H435" s="14">
        <v>12.709806479591835</v>
      </c>
    </row>
    <row r="436" spans="1:8">
      <c r="A436" s="66" t="s">
        <v>67</v>
      </c>
      <c r="B436" s="71">
        <v>2009</v>
      </c>
      <c r="C436" s="66" t="s">
        <v>236</v>
      </c>
      <c r="D436" s="88" t="s">
        <v>250</v>
      </c>
      <c r="E436" s="88" t="s">
        <v>249</v>
      </c>
      <c r="F436" s="14">
        <v>15.156661781075922</v>
      </c>
      <c r="G436" s="14">
        <v>16.706549267161215</v>
      </c>
      <c r="H436" s="14">
        <v>12.214230445269026</v>
      </c>
    </row>
    <row r="437" spans="1:8">
      <c r="A437" s="66" t="s">
        <v>67</v>
      </c>
      <c r="B437" s="71">
        <v>2011</v>
      </c>
      <c r="C437" s="66" t="s">
        <v>236</v>
      </c>
      <c r="D437" s="88" t="s">
        <v>250</v>
      </c>
      <c r="E437" s="88" t="s">
        <v>249</v>
      </c>
      <c r="F437" s="14">
        <v>16.098695786641951</v>
      </c>
      <c r="G437" s="14">
        <v>17.850222860853378</v>
      </c>
      <c r="H437" s="14">
        <v>11.5080564823748</v>
      </c>
    </row>
    <row r="438" spans="1:8">
      <c r="A438" s="66" t="s">
        <v>67</v>
      </c>
      <c r="B438" s="71">
        <v>2012</v>
      </c>
      <c r="C438" s="66" t="s">
        <v>236</v>
      </c>
      <c r="D438" s="88" t="s">
        <v>250</v>
      </c>
      <c r="E438" s="88" t="s">
        <v>249</v>
      </c>
      <c r="F438" s="14">
        <v>14.815915952690403</v>
      </c>
      <c r="G438" s="14">
        <v>16.1503950658627</v>
      </c>
      <c r="H438" s="14">
        <v>11.316852358070488</v>
      </c>
    </row>
    <row r="439" spans="1:8">
      <c r="A439" s="66" t="s">
        <v>67</v>
      </c>
      <c r="B439" s="71">
        <v>2013</v>
      </c>
      <c r="C439" s="66" t="s">
        <v>236</v>
      </c>
      <c r="D439" s="88" t="s">
        <v>250</v>
      </c>
      <c r="E439" s="88" t="s">
        <v>249</v>
      </c>
      <c r="F439" s="14">
        <v>13.533136118738579</v>
      </c>
      <c r="G439" s="14">
        <v>14.450567270871874</v>
      </c>
      <c r="H439" s="14">
        <v>11.125648233766196</v>
      </c>
    </row>
    <row r="440" spans="1:8">
      <c r="A440" s="66" t="s">
        <v>67</v>
      </c>
      <c r="B440" s="71">
        <v>2014</v>
      </c>
      <c r="C440" s="66" t="s">
        <v>236</v>
      </c>
      <c r="D440" s="88" t="s">
        <v>250</v>
      </c>
      <c r="E440" s="88" t="s">
        <v>249</v>
      </c>
      <c r="F440" s="14">
        <v>12.44642893784793</v>
      </c>
      <c r="G440" s="14">
        <v>13.000043659554647</v>
      </c>
      <c r="H440" s="14">
        <v>11.070275844155836</v>
      </c>
    </row>
    <row r="441" spans="1:8">
      <c r="A441" s="66" t="s">
        <v>67</v>
      </c>
      <c r="B441" s="71">
        <v>2015</v>
      </c>
      <c r="C441" s="66" t="s">
        <v>236</v>
      </c>
      <c r="D441" s="88" t="s">
        <v>250</v>
      </c>
      <c r="E441" s="88" t="s">
        <v>249</v>
      </c>
      <c r="F441" s="14">
        <v>11.544952328385905</v>
      </c>
      <c r="G441" s="14">
        <v>11.735351048237522</v>
      </c>
      <c r="H441" s="14">
        <v>11.199572597402566</v>
      </c>
    </row>
    <row r="442" spans="1:8">
      <c r="A442" s="66" t="s">
        <v>67</v>
      </c>
      <c r="B442" s="71">
        <v>2018</v>
      </c>
      <c r="C442" s="66" t="s">
        <v>236</v>
      </c>
      <c r="D442" s="88" t="s">
        <v>250</v>
      </c>
      <c r="E442" s="88" t="s">
        <v>249</v>
      </c>
      <c r="F442" s="14">
        <v>11.514719285714284</v>
      </c>
      <c r="G442" s="14">
        <v>11.109325714285715</v>
      </c>
      <c r="H442" s="14">
        <v>11.587462857142857</v>
      </c>
    </row>
    <row r="443" spans="1:8">
      <c r="A443" s="66" t="s">
        <v>67</v>
      </c>
      <c r="B443" s="71">
        <v>2004</v>
      </c>
      <c r="C443" s="66" t="s">
        <v>236</v>
      </c>
      <c r="D443" s="88" t="s">
        <v>251</v>
      </c>
      <c r="E443" s="88" t="s">
        <v>245</v>
      </c>
      <c r="F443" s="14">
        <v>32.25917428571428</v>
      </c>
      <c r="G443" s="14">
        <v>30.264269285714281</v>
      </c>
      <c r="H443" s="14">
        <v>34.505417857142852</v>
      </c>
    </row>
    <row r="444" spans="1:8">
      <c r="A444" s="66" t="s">
        <v>67</v>
      </c>
      <c r="B444" s="71">
        <v>2005</v>
      </c>
      <c r="C444" s="66" t="s">
        <v>236</v>
      </c>
      <c r="D444" s="88" t="s">
        <v>251</v>
      </c>
      <c r="E444" s="88" t="s">
        <v>245</v>
      </c>
      <c r="F444" s="14">
        <v>32.25917428571428</v>
      </c>
      <c r="G444" s="14">
        <v>30.264269285714285</v>
      </c>
      <c r="H444" s="14">
        <v>34.505417857142859</v>
      </c>
    </row>
    <row r="445" spans="1:8">
      <c r="A445" s="66" t="s">
        <v>67</v>
      </c>
      <c r="B445" s="71">
        <v>2006</v>
      </c>
      <c r="C445" s="66" t="s">
        <v>236</v>
      </c>
      <c r="D445" s="88" t="s">
        <v>251</v>
      </c>
      <c r="E445" s="88" t="s">
        <v>245</v>
      </c>
      <c r="F445" s="14">
        <v>32.164462678571432</v>
      </c>
      <c r="G445" s="14">
        <v>30.105526785714311</v>
      </c>
      <c r="H445" s="14">
        <v>34.467626071428583</v>
      </c>
    </row>
    <row r="446" spans="1:8">
      <c r="A446" s="66" t="s">
        <v>67</v>
      </c>
      <c r="B446" s="71">
        <v>2007</v>
      </c>
      <c r="C446" s="66" t="s">
        <v>236</v>
      </c>
      <c r="D446" s="88" t="s">
        <v>251</v>
      </c>
      <c r="E446" s="88" t="s">
        <v>245</v>
      </c>
      <c r="F446" s="14">
        <v>32.069751071428598</v>
      </c>
      <c r="G446" s="14">
        <v>29.946784285714326</v>
      </c>
      <c r="H446" s="14">
        <v>34.429834285714286</v>
      </c>
    </row>
    <row r="447" spans="1:8">
      <c r="A447" s="66" t="s">
        <v>67</v>
      </c>
      <c r="B447" s="71">
        <v>2009</v>
      </c>
      <c r="C447" s="66" t="s">
        <v>236</v>
      </c>
      <c r="D447" s="88" t="s">
        <v>251</v>
      </c>
      <c r="E447" s="88" t="s">
        <v>245</v>
      </c>
      <c r="F447" s="14">
        <v>31.984850194805194</v>
      </c>
      <c r="G447" s="14">
        <v>29.703748376623366</v>
      </c>
      <c r="H447" s="14">
        <v>34.495060844155851</v>
      </c>
    </row>
    <row r="448" spans="1:8">
      <c r="A448" s="66" t="s">
        <v>67</v>
      </c>
      <c r="B448" s="71">
        <v>2011</v>
      </c>
      <c r="C448" s="66" t="s">
        <v>236</v>
      </c>
      <c r="D448" s="88" t="s">
        <v>251</v>
      </c>
      <c r="E448" s="88" t="s">
        <v>245</v>
      </c>
      <c r="F448" s="14">
        <v>31.782602532467543</v>
      </c>
      <c r="G448" s="14">
        <v>29.520614038961067</v>
      </c>
      <c r="H448" s="14">
        <v>34.292429831168853</v>
      </c>
    </row>
    <row r="449" spans="1:8">
      <c r="A449" s="66" t="s">
        <v>67</v>
      </c>
      <c r="B449" s="71">
        <v>2012</v>
      </c>
      <c r="C449" s="66" t="s">
        <v>236</v>
      </c>
      <c r="D449" s="88" t="s">
        <v>251</v>
      </c>
      <c r="E449" s="88" t="s">
        <v>245</v>
      </c>
      <c r="F449" s="14">
        <v>32.571510946196618</v>
      </c>
      <c r="G449" s="14">
        <v>29.378254625231936</v>
      </c>
      <c r="H449" s="14">
        <v>34.17265034508349</v>
      </c>
    </row>
    <row r="450" spans="1:8">
      <c r="A450" s="66" t="s">
        <v>67</v>
      </c>
      <c r="B450" s="71">
        <v>2013</v>
      </c>
      <c r="C450" s="66" t="s">
        <v>236</v>
      </c>
      <c r="D450" s="88" t="s">
        <v>251</v>
      </c>
      <c r="E450" s="88" t="s">
        <v>245</v>
      </c>
      <c r="F450" s="14">
        <v>33.194682693259217</v>
      </c>
      <c r="G450" s="14">
        <v>28.905534973407477</v>
      </c>
      <c r="H450" s="14">
        <v>33.35672288280746</v>
      </c>
    </row>
    <row r="451" spans="1:8">
      <c r="A451" s="66" t="s">
        <v>67</v>
      </c>
      <c r="B451" s="71">
        <v>2014</v>
      </c>
      <c r="C451" s="66" t="s">
        <v>236</v>
      </c>
      <c r="D451" s="88" t="s">
        <v>251</v>
      </c>
      <c r="E451" s="88" t="s">
        <v>245</v>
      </c>
      <c r="F451" s="14">
        <v>33.817854440321462</v>
      </c>
      <c r="G451" s="14">
        <v>28.432815321583099</v>
      </c>
      <c r="H451" s="14">
        <v>32.540795420531801</v>
      </c>
    </row>
    <row r="452" spans="1:8">
      <c r="A452" s="66" t="s">
        <v>67</v>
      </c>
      <c r="B452" s="71">
        <v>2015</v>
      </c>
      <c r="C452" s="66" t="s">
        <v>236</v>
      </c>
      <c r="D452" s="88" t="s">
        <v>251</v>
      </c>
      <c r="E452" s="88" t="s">
        <v>245</v>
      </c>
      <c r="F452" s="14">
        <v>34.59441118738409</v>
      </c>
      <c r="G452" s="14">
        <v>28.088887384044437</v>
      </c>
      <c r="H452" s="14">
        <v>31.896588529684436</v>
      </c>
    </row>
    <row r="453" spans="1:8">
      <c r="A453" s="66" t="s">
        <v>67</v>
      </c>
      <c r="B453" s="71">
        <v>2018</v>
      </c>
      <c r="C453" s="66" t="s">
        <v>236</v>
      </c>
      <c r="D453" s="88" t="s">
        <v>251</v>
      </c>
      <c r="E453" s="88" t="s">
        <v>245</v>
      </c>
      <c r="F453" s="14">
        <v>34.142826428571425</v>
      </c>
      <c r="G453" s="14">
        <v>27.05710357142857</v>
      </c>
      <c r="H453" s="14">
        <v>29.963967857142858</v>
      </c>
    </row>
    <row r="454" spans="1:8">
      <c r="A454" s="66" t="s">
        <v>67</v>
      </c>
      <c r="B454" s="71">
        <v>2004</v>
      </c>
      <c r="C454" s="66" t="s">
        <v>236</v>
      </c>
      <c r="D454" s="88" t="s">
        <v>251</v>
      </c>
      <c r="E454" s="88" t="s">
        <v>246</v>
      </c>
      <c r="F454" s="14">
        <v>34.988147857142856</v>
      </c>
      <c r="G454" s="14">
        <v>27.741036428571427</v>
      </c>
      <c r="H454" s="14">
        <v>30.771547857142856</v>
      </c>
    </row>
    <row r="455" spans="1:8">
      <c r="A455" s="66" t="s">
        <v>67</v>
      </c>
      <c r="B455" s="71">
        <v>2005</v>
      </c>
      <c r="C455" s="66" t="s">
        <v>236</v>
      </c>
      <c r="D455" s="88" t="s">
        <v>251</v>
      </c>
      <c r="E455" s="88" t="s">
        <v>246</v>
      </c>
      <c r="F455" s="14">
        <v>34.988147857142856</v>
      </c>
      <c r="G455" s="14">
        <v>27.741036428571427</v>
      </c>
      <c r="H455" s="14">
        <v>30.771547857142856</v>
      </c>
    </row>
    <row r="456" spans="1:8">
      <c r="A456" s="66" t="s">
        <v>67</v>
      </c>
      <c r="B456" s="71">
        <v>2006</v>
      </c>
      <c r="C456" s="66" t="s">
        <v>236</v>
      </c>
      <c r="D456" s="88" t="s">
        <v>251</v>
      </c>
      <c r="E456" s="88" t="s">
        <v>246</v>
      </c>
      <c r="F456" s="14">
        <v>34.886168571428577</v>
      </c>
      <c r="G456" s="14">
        <v>27.520889285714315</v>
      </c>
      <c r="H456" s="14">
        <v>30.774888392857143</v>
      </c>
    </row>
    <row r="457" spans="1:8">
      <c r="A457" s="66" t="s">
        <v>67</v>
      </c>
      <c r="B457" s="71">
        <v>2007</v>
      </c>
      <c r="C457" s="66" t="s">
        <v>236</v>
      </c>
      <c r="D457" s="88" t="s">
        <v>251</v>
      </c>
      <c r="E457" s="88" t="s">
        <v>246</v>
      </c>
      <c r="F457" s="14">
        <v>35.384618367346981</v>
      </c>
      <c r="G457" s="14">
        <v>28.106853265306174</v>
      </c>
      <c r="H457" s="14">
        <v>31.091479846938796</v>
      </c>
    </row>
    <row r="458" spans="1:8">
      <c r="A458" s="66" t="s">
        <v>67</v>
      </c>
      <c r="B458" s="71">
        <v>2009</v>
      </c>
      <c r="C458" s="66" t="s">
        <v>236</v>
      </c>
      <c r="D458" s="88" t="s">
        <v>251</v>
      </c>
      <c r="E458" s="88" t="s">
        <v>246</v>
      </c>
      <c r="F458" s="14">
        <v>35.94487140074191</v>
      </c>
      <c r="G458" s="14">
        <v>31.336821841373048</v>
      </c>
      <c r="H458" s="14">
        <v>34.621437268088705</v>
      </c>
    </row>
    <row r="459" spans="1:8">
      <c r="A459" s="66" t="s">
        <v>67</v>
      </c>
      <c r="B459" s="71">
        <v>2011</v>
      </c>
      <c r="C459" s="66" t="s">
        <v>236</v>
      </c>
      <c r="D459" s="88" t="s">
        <v>251</v>
      </c>
      <c r="E459" s="88" t="s">
        <v>246</v>
      </c>
      <c r="F459" s="14">
        <v>36.763335005565743</v>
      </c>
      <c r="G459" s="14">
        <v>34.849951274582601</v>
      </c>
      <c r="H459" s="14">
        <v>38.407344474953547</v>
      </c>
    </row>
    <row r="460" spans="1:8">
      <c r="A460" s="66" t="s">
        <v>67</v>
      </c>
      <c r="B460" s="71">
        <v>2012</v>
      </c>
      <c r="C460" s="66" t="s">
        <v>236</v>
      </c>
      <c r="D460" s="88" t="s">
        <v>251</v>
      </c>
      <c r="E460" s="88" t="s">
        <v>246</v>
      </c>
      <c r="F460" s="14">
        <v>37.237858797773576</v>
      </c>
      <c r="G460" s="14">
        <v>35.776028720779401</v>
      </c>
      <c r="H460" s="14">
        <v>38.327711598794039</v>
      </c>
    </row>
    <row r="461" spans="1:8">
      <c r="A461" s="66" t="s">
        <v>67</v>
      </c>
      <c r="B461" s="71">
        <v>2013</v>
      </c>
      <c r="C461" s="66" t="s">
        <v>236</v>
      </c>
      <c r="D461" s="88" t="s">
        <v>251</v>
      </c>
      <c r="E461" s="88" t="s">
        <v>246</v>
      </c>
      <c r="F461" s="14">
        <v>37.659610447124287</v>
      </c>
      <c r="G461" s="14">
        <v>36.689251881261654</v>
      </c>
      <c r="H461" s="14">
        <v>38.160659317872515</v>
      </c>
    </row>
    <row r="462" spans="1:8">
      <c r="A462" s="66" t="s">
        <v>67</v>
      </c>
      <c r="B462" s="71">
        <v>2014</v>
      </c>
      <c r="C462" s="66" t="s">
        <v>236</v>
      </c>
      <c r="D462" s="88" t="s">
        <v>251</v>
      </c>
      <c r="E462" s="88" t="s">
        <v>246</v>
      </c>
      <c r="F462" s="14">
        <v>37.480933014842286</v>
      </c>
      <c r="G462" s="14">
        <v>36.796363919295025</v>
      </c>
      <c r="H462" s="14">
        <v>37.680356118583816</v>
      </c>
    </row>
    <row r="463" spans="1:8">
      <c r="A463" s="66" t="s">
        <v>67</v>
      </c>
      <c r="B463" s="71">
        <v>2015</v>
      </c>
      <c r="C463" s="66" t="s">
        <v>236</v>
      </c>
      <c r="D463" s="88" t="s">
        <v>251</v>
      </c>
      <c r="E463" s="88" t="s">
        <v>246</v>
      </c>
      <c r="F463" s="14">
        <v>37.275129582560282</v>
      </c>
      <c r="G463" s="14">
        <v>36.982042671614103</v>
      </c>
      <c r="H463" s="14">
        <v>37.068737490723542</v>
      </c>
    </row>
    <row r="464" spans="1:8">
      <c r="A464" s="66" t="s">
        <v>67</v>
      </c>
      <c r="B464" s="71">
        <v>2018</v>
      </c>
      <c r="C464" s="66" t="s">
        <v>236</v>
      </c>
      <c r="D464" s="88" t="s">
        <v>251</v>
      </c>
      <c r="E464" s="88" t="s">
        <v>246</v>
      </c>
      <c r="F464" s="14">
        <v>36.833977857142862</v>
      </c>
      <c r="G464" s="14">
        <v>36.844183571428573</v>
      </c>
      <c r="H464" s="14">
        <v>36.334380714285714</v>
      </c>
    </row>
    <row r="465" spans="1:8">
      <c r="A465" s="66" t="s">
        <v>67</v>
      </c>
      <c r="B465" s="71">
        <v>2004</v>
      </c>
      <c r="C465" s="66" t="s">
        <v>236</v>
      </c>
      <c r="D465" s="88" t="s">
        <v>251</v>
      </c>
      <c r="E465" s="88" t="s">
        <v>247</v>
      </c>
      <c r="F465" s="14">
        <v>34.57380214285714</v>
      </c>
      <c r="G465" s="14">
        <v>32.839511428571427</v>
      </c>
      <c r="H465" s="14">
        <v>36.194399999999995</v>
      </c>
    </row>
    <row r="466" spans="1:8">
      <c r="A466" s="66" t="s">
        <v>67</v>
      </c>
      <c r="B466" s="71">
        <v>2005</v>
      </c>
      <c r="C466" s="66" t="s">
        <v>236</v>
      </c>
      <c r="D466" s="88" t="s">
        <v>251</v>
      </c>
      <c r="E466" s="88" t="s">
        <v>247</v>
      </c>
      <c r="F466" s="14">
        <v>34.57380214285714</v>
      </c>
      <c r="G466" s="14">
        <v>32.839511428571427</v>
      </c>
      <c r="H466" s="14">
        <v>36.194399999999995</v>
      </c>
    </row>
    <row r="467" spans="1:8">
      <c r="A467" s="66" t="s">
        <v>67</v>
      </c>
      <c r="B467" s="71">
        <v>2006</v>
      </c>
      <c r="C467" s="66" t="s">
        <v>236</v>
      </c>
      <c r="D467" s="88" t="s">
        <v>251</v>
      </c>
      <c r="E467" s="88" t="s">
        <v>247</v>
      </c>
      <c r="F467" s="14">
        <v>34.589927857142861</v>
      </c>
      <c r="G467" s="14">
        <v>32.782137678571424</v>
      </c>
      <c r="H467" s="14">
        <v>36.287773214285714</v>
      </c>
    </row>
    <row r="468" spans="1:8">
      <c r="A468" s="66" t="s">
        <v>67</v>
      </c>
      <c r="B468" s="71">
        <v>2007</v>
      </c>
      <c r="C468" s="66" t="s">
        <v>236</v>
      </c>
      <c r="D468" s="88" t="s">
        <v>251</v>
      </c>
      <c r="E468" s="88" t="s">
        <v>247</v>
      </c>
      <c r="F468" s="14">
        <v>34.434448571428575</v>
      </c>
      <c r="G468" s="14">
        <v>32.607456173469373</v>
      </c>
      <c r="H468" s="14">
        <v>36.140468469387727</v>
      </c>
    </row>
    <row r="469" spans="1:8">
      <c r="A469" s="66" t="s">
        <v>67</v>
      </c>
      <c r="B469" s="71">
        <v>2009</v>
      </c>
      <c r="C469" s="66" t="s">
        <v>236</v>
      </c>
      <c r="D469" s="88" t="s">
        <v>251</v>
      </c>
      <c r="E469" s="88" t="s">
        <v>247</v>
      </c>
      <c r="F469" s="14">
        <v>33.961335584415586</v>
      </c>
      <c r="G469" s="14">
        <v>32.060798390538032</v>
      </c>
      <c r="H469" s="14">
        <v>35.694963005565825</v>
      </c>
    </row>
    <row r="470" spans="1:8">
      <c r="A470" s="66" t="s">
        <v>67</v>
      </c>
      <c r="B470" s="71">
        <v>2011</v>
      </c>
      <c r="C470" s="66" t="s">
        <v>236</v>
      </c>
      <c r="D470" s="88" t="s">
        <v>251</v>
      </c>
      <c r="E470" s="88" t="s">
        <v>247</v>
      </c>
      <c r="F470" s="14">
        <v>33.392643740259743</v>
      </c>
      <c r="G470" s="14">
        <v>31.5635135361781</v>
      </c>
      <c r="H470" s="14">
        <v>34.995014541743892</v>
      </c>
    </row>
    <row r="471" spans="1:8">
      <c r="A471" s="66" t="s">
        <v>67</v>
      </c>
      <c r="B471" s="71">
        <v>2012</v>
      </c>
      <c r="C471" s="66" t="s">
        <v>236</v>
      </c>
      <c r="D471" s="88" t="s">
        <v>251</v>
      </c>
      <c r="E471" s="88" t="s">
        <v>247</v>
      </c>
      <c r="F471" s="14">
        <v>32.924338379406379</v>
      </c>
      <c r="G471" s="14">
        <v>31.232727333487905</v>
      </c>
      <c r="H471" s="14">
        <v>34.379878217996279</v>
      </c>
    </row>
    <row r="472" spans="1:8">
      <c r="A472" s="66" t="s">
        <v>67</v>
      </c>
      <c r="B472" s="71">
        <v>2013</v>
      </c>
      <c r="C472" s="66" t="s">
        <v>236</v>
      </c>
      <c r="D472" s="88" t="s">
        <v>251</v>
      </c>
      <c r="E472" s="88" t="s">
        <v>247</v>
      </c>
      <c r="F472" s="14">
        <v>32.433136709029121</v>
      </c>
      <c r="G472" s="14">
        <v>30.865681011750137</v>
      </c>
      <c r="H472" s="14">
        <v>33.779942013296186</v>
      </c>
    </row>
    <row r="473" spans="1:8">
      <c r="A473" s="66" t="s">
        <v>67</v>
      </c>
      <c r="B473" s="71">
        <v>2014</v>
      </c>
      <c r="C473" s="66" t="s">
        <v>236</v>
      </c>
      <c r="D473" s="88" t="s">
        <v>251</v>
      </c>
      <c r="E473" s="88" t="s">
        <v>247</v>
      </c>
      <c r="F473" s="14">
        <v>32.113540038651827</v>
      </c>
      <c r="G473" s="14">
        <v>30.615942445114396</v>
      </c>
      <c r="H473" s="14">
        <v>33.420683767779842</v>
      </c>
    </row>
    <row r="474" spans="1:8">
      <c r="A474" s="66" t="s">
        <v>67</v>
      </c>
      <c r="B474" s="71">
        <v>2015</v>
      </c>
      <c r="C474" s="66" t="s">
        <v>236</v>
      </c>
      <c r="D474" s="88" t="s">
        <v>251</v>
      </c>
      <c r="E474" s="88" t="s">
        <v>247</v>
      </c>
      <c r="F474" s="14">
        <v>31.825607082560271</v>
      </c>
      <c r="G474" s="14">
        <v>30.398891164192971</v>
      </c>
      <c r="H474" s="14">
        <v>33.095273807977726</v>
      </c>
    </row>
    <row r="475" spans="1:8">
      <c r="A475" s="66" t="s">
        <v>67</v>
      </c>
      <c r="B475" s="71">
        <v>2018</v>
      </c>
      <c r="C475" s="66" t="s">
        <v>236</v>
      </c>
      <c r="D475" s="88" t="s">
        <v>251</v>
      </c>
      <c r="E475" s="88" t="s">
        <v>247</v>
      </c>
      <c r="F475" s="14">
        <v>31.475023571428569</v>
      </c>
      <c r="G475" s="14">
        <v>30.012957142857143</v>
      </c>
      <c r="H475" s="14">
        <v>32.840232142857147</v>
      </c>
    </row>
    <row r="476" spans="1:8">
      <c r="A476" s="66" t="s">
        <v>67</v>
      </c>
      <c r="B476" s="71">
        <v>2004</v>
      </c>
      <c r="C476" s="66" t="s">
        <v>236</v>
      </c>
      <c r="D476" s="88" t="s">
        <v>251</v>
      </c>
      <c r="E476" s="88" t="s">
        <v>248</v>
      </c>
      <c r="F476" s="14">
        <v>27.276577142857143</v>
      </c>
      <c r="G476" s="14">
        <v>26.628152857142855</v>
      </c>
      <c r="H476" s="14">
        <v>27.864215714285713</v>
      </c>
    </row>
    <row r="477" spans="1:8">
      <c r="A477" s="66" t="s">
        <v>67</v>
      </c>
      <c r="B477" s="71">
        <v>2005</v>
      </c>
      <c r="C477" s="66" t="s">
        <v>236</v>
      </c>
      <c r="D477" s="88" t="s">
        <v>251</v>
      </c>
      <c r="E477" s="88" t="s">
        <v>248</v>
      </c>
      <c r="F477" s="14">
        <v>27.276577142857143</v>
      </c>
      <c r="G477" s="14">
        <v>26.628152857142851</v>
      </c>
      <c r="H477" s="14">
        <v>27.864215714285713</v>
      </c>
    </row>
    <row r="478" spans="1:8">
      <c r="A478" s="66" t="s">
        <v>67</v>
      </c>
      <c r="B478" s="71">
        <v>2006</v>
      </c>
      <c r="C478" s="66" t="s">
        <v>236</v>
      </c>
      <c r="D478" s="88" t="s">
        <v>251</v>
      </c>
      <c r="E478" s="88" t="s">
        <v>248</v>
      </c>
      <c r="F478" s="14">
        <v>27.390928571428553</v>
      </c>
      <c r="G478" s="14">
        <v>26.654521249999991</v>
      </c>
      <c r="H478" s="14">
        <v>28.066064642857182</v>
      </c>
    </row>
    <row r="479" spans="1:8">
      <c r="A479" s="66" t="s">
        <v>67</v>
      </c>
      <c r="B479" s="71">
        <v>2007</v>
      </c>
      <c r="C479" s="66" t="s">
        <v>236</v>
      </c>
      <c r="D479" s="88" t="s">
        <v>251</v>
      </c>
      <c r="E479" s="88" t="s">
        <v>248</v>
      </c>
      <c r="F479" s="14">
        <v>27.423736836734641</v>
      </c>
      <c r="G479" s="14">
        <v>26.567677397959187</v>
      </c>
      <c r="H479" s="14">
        <v>28.216695306122492</v>
      </c>
    </row>
    <row r="480" spans="1:8">
      <c r="A480" s="66" t="s">
        <v>67</v>
      </c>
      <c r="B480" s="71">
        <v>2009</v>
      </c>
      <c r="C480" s="66" t="s">
        <v>236</v>
      </c>
      <c r="D480" s="88" t="s">
        <v>251</v>
      </c>
      <c r="E480" s="88" t="s">
        <v>248</v>
      </c>
      <c r="F480" s="14">
        <v>27.167193789424818</v>
      </c>
      <c r="G480" s="14">
        <v>26.123425408163222</v>
      </c>
      <c r="H480" s="14">
        <v>28.136176340445321</v>
      </c>
    </row>
    <row r="481" spans="1:8">
      <c r="A481" s="66" t="s">
        <v>67</v>
      </c>
      <c r="B481" s="71">
        <v>2011</v>
      </c>
      <c r="C481" s="66" t="s">
        <v>236</v>
      </c>
      <c r="D481" s="88" t="s">
        <v>251</v>
      </c>
      <c r="E481" s="88" t="s">
        <v>248</v>
      </c>
      <c r="F481" s="14">
        <v>26.626537027829301</v>
      </c>
      <c r="G481" s="14">
        <v>25.632644061224489</v>
      </c>
      <c r="H481" s="14">
        <v>27.53394866048237</v>
      </c>
    </row>
    <row r="482" spans="1:8">
      <c r="A482" s="66" t="s">
        <v>67</v>
      </c>
      <c r="B482" s="71">
        <v>2012</v>
      </c>
      <c r="C482" s="66" t="s">
        <v>236</v>
      </c>
      <c r="D482" s="88" t="s">
        <v>251</v>
      </c>
      <c r="E482" s="88" t="s">
        <v>248</v>
      </c>
      <c r="F482" s="14">
        <v>26.479653570500943</v>
      </c>
      <c r="G482" s="14">
        <v>25.421974918367344</v>
      </c>
      <c r="H482" s="14">
        <v>27.468458060296829</v>
      </c>
    </row>
    <row r="483" spans="1:8">
      <c r="A483" s="66" t="s">
        <v>67</v>
      </c>
      <c r="B483" s="71">
        <v>2013</v>
      </c>
      <c r="C483" s="66" t="s">
        <v>236</v>
      </c>
      <c r="D483" s="88" t="s">
        <v>251</v>
      </c>
      <c r="E483" s="88" t="s">
        <v>248</v>
      </c>
      <c r="F483" s="14">
        <v>26.281085946505907</v>
      </c>
      <c r="G483" s="14">
        <v>25.098262204081635</v>
      </c>
      <c r="H483" s="14">
        <v>27.401634126777981</v>
      </c>
    </row>
    <row r="484" spans="1:8">
      <c r="A484" s="66" t="s">
        <v>67</v>
      </c>
      <c r="B484" s="71">
        <v>2014</v>
      </c>
      <c r="C484" s="66" t="s">
        <v>236</v>
      </c>
      <c r="D484" s="88" t="s">
        <v>251</v>
      </c>
      <c r="E484" s="88" t="s">
        <v>248</v>
      </c>
      <c r="F484" s="14">
        <v>26.164061485776148</v>
      </c>
      <c r="G484" s="14">
        <v>24.88776173469385</v>
      </c>
      <c r="H484" s="14">
        <v>27.386028458565232</v>
      </c>
    </row>
    <row r="485" spans="1:8">
      <c r="A485" s="66" t="s">
        <v>67</v>
      </c>
      <c r="B485" s="71">
        <v>2015</v>
      </c>
      <c r="C485" s="66" t="s">
        <v>236</v>
      </c>
      <c r="D485" s="88" t="s">
        <v>251</v>
      </c>
      <c r="E485" s="88" t="s">
        <v>248</v>
      </c>
      <c r="F485" s="14">
        <v>26.074742453617837</v>
      </c>
      <c r="G485" s="14">
        <v>24.674157551020397</v>
      </c>
      <c r="H485" s="14">
        <v>27.429428218923913</v>
      </c>
    </row>
    <row r="486" spans="1:8">
      <c r="A486" s="66" t="s">
        <v>67</v>
      </c>
      <c r="B486" s="71">
        <v>2018</v>
      </c>
      <c r="C486" s="66" t="s">
        <v>236</v>
      </c>
      <c r="D486" s="88" t="s">
        <v>251</v>
      </c>
      <c r="E486" s="88" t="s">
        <v>248</v>
      </c>
      <c r="F486" s="14">
        <v>25.605351428571428</v>
      </c>
      <c r="G486" s="14">
        <v>23.986579285714281</v>
      </c>
      <c r="H486" s="14">
        <v>27.159454285714286</v>
      </c>
    </row>
    <row r="487" spans="1:8">
      <c r="A487" s="66" t="s">
        <v>67</v>
      </c>
      <c r="B487" s="71">
        <v>2004</v>
      </c>
      <c r="C487" s="66" t="s">
        <v>236</v>
      </c>
      <c r="D487" s="88" t="s">
        <v>251</v>
      </c>
      <c r="E487" s="88" t="s">
        <v>249</v>
      </c>
      <c r="F487" s="14">
        <v>16.594806428571427</v>
      </c>
      <c r="G487" s="14">
        <v>16.327807142857147</v>
      </c>
      <c r="H487" s="14">
        <v>16.642301428571425</v>
      </c>
    </row>
    <row r="488" spans="1:8">
      <c r="A488" s="66" t="s">
        <v>67</v>
      </c>
      <c r="B488" s="71">
        <v>2005</v>
      </c>
      <c r="C488" s="66" t="s">
        <v>236</v>
      </c>
      <c r="D488" s="88" t="s">
        <v>251</v>
      </c>
      <c r="E488" s="88" t="s">
        <v>249</v>
      </c>
      <c r="F488" s="14">
        <v>16.594806428571427</v>
      </c>
      <c r="G488" s="14">
        <v>16.327807142857143</v>
      </c>
      <c r="H488" s="14">
        <v>16.642301428571425</v>
      </c>
    </row>
    <row r="489" spans="1:8">
      <c r="A489" s="66" t="s">
        <v>67</v>
      </c>
      <c r="B489" s="71">
        <v>2006</v>
      </c>
      <c r="C489" s="66" t="s">
        <v>236</v>
      </c>
      <c r="D489" s="88" t="s">
        <v>251</v>
      </c>
      <c r="E489" s="88" t="s">
        <v>249</v>
      </c>
      <c r="F489" s="14">
        <v>16.564927321428563</v>
      </c>
      <c r="G489" s="14">
        <v>16.35042142857143</v>
      </c>
      <c r="H489" s="14">
        <v>16.561797142857138</v>
      </c>
    </row>
    <row r="490" spans="1:8">
      <c r="A490" s="66" t="s">
        <v>67</v>
      </c>
      <c r="B490" s="71">
        <v>2007</v>
      </c>
      <c r="C490" s="66" t="s">
        <v>236</v>
      </c>
      <c r="D490" s="88" t="s">
        <v>251</v>
      </c>
      <c r="E490" s="88" t="s">
        <v>249</v>
      </c>
      <c r="F490" s="14">
        <v>16.480963622448964</v>
      </c>
      <c r="G490" s="14">
        <v>16.233070714285748</v>
      </c>
      <c r="H490" s="14">
        <v>16.526240102040806</v>
      </c>
    </row>
    <row r="491" spans="1:8">
      <c r="A491" s="66" t="s">
        <v>67</v>
      </c>
      <c r="B491" s="71">
        <v>2009</v>
      </c>
      <c r="C491" s="66" t="s">
        <v>236</v>
      </c>
      <c r="D491" s="88" t="s">
        <v>251</v>
      </c>
      <c r="E491" s="88" t="s">
        <v>249</v>
      </c>
      <c r="F491" s="14">
        <v>16.110375153061227</v>
      </c>
      <c r="G491" s="14">
        <v>15.901376753246771</v>
      </c>
      <c r="H491" s="14">
        <v>16.145911215213289</v>
      </c>
    </row>
    <row r="492" spans="1:8">
      <c r="A492" s="66" t="s">
        <v>67</v>
      </c>
      <c r="B492" s="71">
        <v>2011</v>
      </c>
      <c r="C492" s="66" t="s">
        <v>236</v>
      </c>
      <c r="D492" s="88" t="s">
        <v>251</v>
      </c>
      <c r="E492" s="88" t="s">
        <v>249</v>
      </c>
      <c r="F492" s="14">
        <v>15.749249469387751</v>
      </c>
      <c r="G492" s="14">
        <v>15.427929363636379</v>
      </c>
      <c r="H492" s="14">
        <v>15.921981756957319</v>
      </c>
    </row>
    <row r="493" spans="1:8">
      <c r="A493" s="66" t="s">
        <v>67</v>
      </c>
      <c r="B493" s="71">
        <v>2012</v>
      </c>
      <c r="C493" s="66" t="s">
        <v>236</v>
      </c>
      <c r="D493" s="88" t="s">
        <v>251</v>
      </c>
      <c r="E493" s="88" t="s">
        <v>249</v>
      </c>
      <c r="F493" s="14">
        <v>15.492064561224483</v>
      </c>
      <c r="G493" s="14">
        <v>14.910267403525053</v>
      </c>
      <c r="H493" s="14">
        <v>15.934919247217053</v>
      </c>
    </row>
    <row r="494" spans="1:8">
      <c r="A494" s="66" t="s">
        <v>67</v>
      </c>
      <c r="B494" s="71">
        <v>2013</v>
      </c>
      <c r="C494" s="66" t="s">
        <v>236</v>
      </c>
      <c r="D494" s="88" t="s">
        <v>251</v>
      </c>
      <c r="E494" s="88" t="s">
        <v>249</v>
      </c>
      <c r="F494" s="14">
        <v>15.21345620068028</v>
      </c>
      <c r="G494" s="14">
        <v>14.393570324366108</v>
      </c>
      <c r="H494" s="14">
        <v>15.908422689857755</v>
      </c>
    </row>
    <row r="495" spans="1:8">
      <c r="A495" s="66" t="s">
        <v>67</v>
      </c>
      <c r="B495" s="71">
        <v>2014</v>
      </c>
      <c r="C495" s="66" t="s">
        <v>236</v>
      </c>
      <c r="D495" s="88" t="s">
        <v>251</v>
      </c>
      <c r="E495" s="88" t="s">
        <v>249</v>
      </c>
      <c r="F495" s="14">
        <v>14.988932431972781</v>
      </c>
      <c r="G495" s="14">
        <v>14.016838245207168</v>
      </c>
      <c r="H495" s="14">
        <v>15.836978887600493</v>
      </c>
    </row>
    <row r="496" spans="1:8">
      <c r="A496" s="66" t="s">
        <v>67</v>
      </c>
      <c r="B496" s="71">
        <v>2015</v>
      </c>
      <c r="C496" s="66" t="s">
        <v>236</v>
      </c>
      <c r="D496" s="88" t="s">
        <v>251</v>
      </c>
      <c r="E496" s="88" t="s">
        <v>249</v>
      </c>
      <c r="F496" s="14">
        <v>14.789556377551012</v>
      </c>
      <c r="G496" s="14">
        <v>13.68836859461965</v>
      </c>
      <c r="H496" s="14">
        <v>15.767839656771811</v>
      </c>
    </row>
    <row r="497" spans="1:8">
      <c r="A497" s="66" t="s">
        <v>67</v>
      </c>
      <c r="B497" s="71">
        <v>2018</v>
      </c>
      <c r="C497" s="66" t="s">
        <v>236</v>
      </c>
      <c r="D497" s="88" t="s">
        <v>251</v>
      </c>
      <c r="E497" s="88" t="s">
        <v>249</v>
      </c>
      <c r="F497" s="14">
        <v>14.519678571428571</v>
      </c>
      <c r="G497" s="14">
        <v>13.221793571428568</v>
      </c>
      <c r="H497" s="14">
        <v>15.706185000000001</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42A6C-8BB1-4E65-B99B-955153532381}">
  <sheetPr>
    <tabColor theme="0" tint="-0.499984740745262"/>
  </sheetPr>
  <dimension ref="A1:AQ6"/>
  <sheetViews>
    <sheetView zoomScale="70" zoomScaleNormal="70" workbookViewId="0">
      <selection activeCell="A3" sqref="A3:A4"/>
    </sheetView>
  </sheetViews>
  <sheetFormatPr defaultRowHeight="14.5"/>
  <cols>
    <col min="1" max="1" width="12.81640625" style="240" customWidth="1"/>
    <col min="2" max="5" width="12" style="240" customWidth="1"/>
    <col min="6" max="43" width="8.81640625" style="240"/>
  </cols>
  <sheetData>
    <row r="1" spans="1:5" ht="16">
      <c r="A1" s="28" t="s">
        <v>242</v>
      </c>
      <c r="B1" s="483" t="s">
        <v>195</v>
      </c>
      <c r="C1" s="484"/>
      <c r="D1" s="483" t="s">
        <v>192</v>
      </c>
      <c r="E1" s="484"/>
    </row>
    <row r="2" spans="1:5" ht="16">
      <c r="A2" s="28" t="s">
        <v>530</v>
      </c>
      <c r="B2" s="28" t="s">
        <v>2</v>
      </c>
      <c r="C2" s="28" t="s">
        <v>3</v>
      </c>
      <c r="D2" s="28" t="s">
        <v>2</v>
      </c>
      <c r="E2" s="28" t="s">
        <v>3</v>
      </c>
    </row>
    <row r="3" spans="1:5" ht="16">
      <c r="A3" s="377" t="s">
        <v>528</v>
      </c>
      <c r="B3" s="275">
        <v>0.29707125000000001</v>
      </c>
      <c r="C3" s="275">
        <v>0.20654343571428599</v>
      </c>
      <c r="D3" s="275">
        <v>0.1253628</v>
      </c>
      <c r="E3" s="275">
        <v>0.102063142857143</v>
      </c>
    </row>
    <row r="4" spans="1:5" ht="16">
      <c r="A4" s="377" t="s">
        <v>529</v>
      </c>
      <c r="B4" s="275">
        <v>5.9606307142857098E-2</v>
      </c>
      <c r="C4" s="275">
        <v>2.4941514285714301E-2</v>
      </c>
      <c r="D4" s="275">
        <v>4.5912678571428597E-2</v>
      </c>
      <c r="E4" s="275">
        <v>4.8506907142857103E-2</v>
      </c>
    </row>
    <row r="6" spans="1:5">
      <c r="A6" s="357" t="s">
        <v>25</v>
      </c>
      <c r="B6" s="358" t="s">
        <v>618</v>
      </c>
    </row>
  </sheetData>
  <mergeCells count="2">
    <mergeCell ref="B1:C1"/>
    <mergeCell ref="D1:E1"/>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E65C1-A9F4-4CE6-825B-A716D667C062}">
  <sheetPr>
    <tabColor theme="0" tint="-0.499984740745262"/>
  </sheetPr>
  <dimension ref="A1:AU9"/>
  <sheetViews>
    <sheetView zoomScale="70" zoomScaleNormal="70" workbookViewId="0">
      <selection activeCell="B9" sqref="B9"/>
    </sheetView>
  </sheetViews>
  <sheetFormatPr defaultRowHeight="14.5"/>
  <cols>
    <col min="1" max="1" width="13.54296875" style="240" customWidth="1"/>
    <col min="2" max="47" width="8.81640625" style="240"/>
  </cols>
  <sheetData>
    <row r="1" spans="1:3" ht="16">
      <c r="A1" s="28" t="s">
        <v>462</v>
      </c>
      <c r="B1" s="28" t="s">
        <v>2</v>
      </c>
      <c r="C1" s="28" t="s">
        <v>3</v>
      </c>
    </row>
    <row r="2" spans="1:3">
      <c r="A2" s="13" t="s">
        <v>110</v>
      </c>
      <c r="B2" s="275">
        <v>0.75133979797363204</v>
      </c>
      <c r="C2" s="275">
        <v>0.75358520507812499</v>
      </c>
    </row>
    <row r="3" spans="1:3">
      <c r="A3" s="13" t="s">
        <v>119</v>
      </c>
      <c r="B3" s="147">
        <v>0.69623268127441396</v>
      </c>
      <c r="C3" s="275">
        <v>0.67874717712402299</v>
      </c>
    </row>
    <row r="4" spans="1:3">
      <c r="A4" s="13" t="s">
        <v>144</v>
      </c>
      <c r="B4" s="147">
        <v>0.63607269287109303</v>
      </c>
      <c r="C4" s="275">
        <v>0.61499198913574205</v>
      </c>
    </row>
    <row r="5" spans="1:3">
      <c r="A5" s="13" t="s">
        <v>67</v>
      </c>
      <c r="B5" s="275">
        <v>0.42895748138427697</v>
      </c>
      <c r="C5" s="275">
        <v>0.42591239929199198</v>
      </c>
    </row>
    <row r="6" spans="1:3">
      <c r="A6" s="13" t="s">
        <v>120</v>
      </c>
      <c r="B6" s="275">
        <v>0.33421489715576103</v>
      </c>
      <c r="C6" s="275">
        <v>0.33809051513671801</v>
      </c>
    </row>
    <row r="9" spans="1:3">
      <c r="A9" s="357" t="s">
        <v>25</v>
      </c>
      <c r="B9" s="333" t="s">
        <v>619</v>
      </c>
    </row>
  </sheetData>
  <hyperlinks>
    <hyperlink ref="B9" r:id="rId1" display="https://data.uis.unesco.org/" xr:uid="{C9B4A728-648D-4439-9889-8FB348240C76}"/>
  </hyperlinks>
  <pageMargins left="0.7" right="0.7" top="0.75" bottom="0.75" header="0.3" footer="0.3"/>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980E-FCC0-4FCB-898F-E6DC9A7C4B39}">
  <sheetPr>
    <tabColor theme="6" tint="0.39997558519241921"/>
  </sheetPr>
  <dimension ref="A1:J30"/>
  <sheetViews>
    <sheetView showGridLines="0" zoomScale="80" zoomScaleNormal="80" workbookViewId="0">
      <pane xSplit="1" ySplit="2" topLeftCell="B3" activePane="bottomRight" state="frozen"/>
      <selection pane="topRight" activeCell="B1" sqref="B1"/>
      <selection pane="bottomLeft" activeCell="A3" sqref="A3"/>
      <selection pane="bottomRight" activeCell="D23" sqref="A23:D26"/>
    </sheetView>
  </sheetViews>
  <sheetFormatPr defaultRowHeight="14.5"/>
  <cols>
    <col min="1" max="1" width="10.453125" customWidth="1"/>
    <col min="2" max="2" width="18" bestFit="1" customWidth="1"/>
  </cols>
  <sheetData>
    <row r="1" spans="1:10" ht="42" customHeight="1">
      <c r="A1" s="485" t="s">
        <v>252</v>
      </c>
      <c r="B1" s="485"/>
      <c r="C1" s="485"/>
      <c r="G1" t="s">
        <v>514</v>
      </c>
      <c r="H1" t="s">
        <v>515</v>
      </c>
      <c r="I1" t="s">
        <v>516</v>
      </c>
      <c r="J1" t="s">
        <v>517</v>
      </c>
    </row>
    <row r="2" spans="1:10">
      <c r="A2" s="212" t="s">
        <v>104</v>
      </c>
      <c r="B2" s="212" t="s">
        <v>4</v>
      </c>
      <c r="C2" s="212" t="s">
        <v>167</v>
      </c>
      <c r="G2">
        <v>2018</v>
      </c>
      <c r="H2">
        <v>5</v>
      </c>
      <c r="I2" s="317">
        <v>22.7</v>
      </c>
      <c r="J2" t="s">
        <v>518</v>
      </c>
    </row>
    <row r="3" spans="1:10">
      <c r="A3" s="44">
        <v>2018</v>
      </c>
      <c r="B3" s="35" t="s">
        <v>32</v>
      </c>
      <c r="C3" s="44">
        <v>70</v>
      </c>
      <c r="G3">
        <v>2020</v>
      </c>
      <c r="H3">
        <v>6</v>
      </c>
      <c r="I3" s="317">
        <v>27.3</v>
      </c>
      <c r="J3" t="s">
        <v>519</v>
      </c>
    </row>
    <row r="4" spans="1:10">
      <c r="A4" s="44">
        <v>2020</v>
      </c>
      <c r="B4" s="35" t="s">
        <v>32</v>
      </c>
      <c r="C4" s="44">
        <v>70</v>
      </c>
      <c r="G4">
        <v>2022</v>
      </c>
      <c r="H4">
        <v>8</v>
      </c>
      <c r="I4" s="317">
        <v>36.4</v>
      </c>
      <c r="J4" t="s">
        <v>520</v>
      </c>
    </row>
    <row r="5" spans="1:10">
      <c r="A5" s="44">
        <v>2022</v>
      </c>
      <c r="B5" s="35" t="s">
        <v>32</v>
      </c>
      <c r="C5" s="44">
        <v>70</v>
      </c>
    </row>
    <row r="6" spans="1:10">
      <c r="A6" s="44">
        <v>2018</v>
      </c>
      <c r="B6" s="35" t="s">
        <v>43</v>
      </c>
      <c r="C6" s="44">
        <v>20</v>
      </c>
    </row>
    <row r="7" spans="1:10">
      <c r="A7" s="44">
        <v>2020</v>
      </c>
      <c r="B7" s="35" t="s">
        <v>43</v>
      </c>
      <c r="C7" s="44">
        <v>40</v>
      </c>
    </row>
    <row r="8" spans="1:10">
      <c r="A8" s="44">
        <v>2022</v>
      </c>
      <c r="B8" s="35" t="s">
        <v>43</v>
      </c>
      <c r="C8" s="44">
        <v>40</v>
      </c>
    </row>
    <row r="9" spans="1:10">
      <c r="A9" s="44">
        <v>2018</v>
      </c>
      <c r="B9" s="35" t="s">
        <v>46</v>
      </c>
      <c r="C9" s="44">
        <v>50</v>
      </c>
    </row>
    <row r="10" spans="1:10">
      <c r="A10" s="44">
        <v>2020</v>
      </c>
      <c r="B10" s="35" t="s">
        <v>46</v>
      </c>
      <c r="C10" s="44">
        <v>50</v>
      </c>
    </row>
    <row r="11" spans="1:10">
      <c r="A11" s="44">
        <v>2022</v>
      </c>
      <c r="B11" s="35" t="s">
        <v>46</v>
      </c>
      <c r="C11" s="44">
        <v>50</v>
      </c>
    </row>
    <row r="12" spans="1:10">
      <c r="A12" s="44">
        <v>2020</v>
      </c>
      <c r="B12" s="35" t="s">
        <v>35</v>
      </c>
      <c r="C12" s="44">
        <v>70</v>
      </c>
    </row>
    <row r="13" spans="1:10">
      <c r="A13" s="44">
        <v>2022</v>
      </c>
      <c r="B13" s="35" t="s">
        <v>35</v>
      </c>
      <c r="C13" s="44">
        <v>70</v>
      </c>
    </row>
    <row r="14" spans="1:10">
      <c r="A14" s="44">
        <v>2018</v>
      </c>
      <c r="B14" s="35" t="s">
        <v>51</v>
      </c>
      <c r="C14" s="44">
        <v>30</v>
      </c>
    </row>
    <row r="15" spans="1:10">
      <c r="A15" s="44">
        <v>2020</v>
      </c>
      <c r="B15" s="35" t="s">
        <v>51</v>
      </c>
      <c r="C15" s="44">
        <v>30</v>
      </c>
    </row>
    <row r="16" spans="1:10">
      <c r="A16" s="44">
        <v>2022</v>
      </c>
      <c r="B16" s="35" t="s">
        <v>51</v>
      </c>
      <c r="C16" s="44">
        <v>30</v>
      </c>
    </row>
    <row r="17" spans="1:4">
      <c r="A17" s="44">
        <v>2022</v>
      </c>
      <c r="B17" s="35" t="s">
        <v>105</v>
      </c>
      <c r="C17" s="44">
        <v>0</v>
      </c>
    </row>
    <row r="18" spans="1:4">
      <c r="A18" s="44">
        <v>2022</v>
      </c>
      <c r="B18" s="35" t="s">
        <v>42</v>
      </c>
      <c r="C18" s="44">
        <v>40</v>
      </c>
    </row>
    <row r="19" spans="1:4">
      <c r="A19" s="254">
        <v>2018</v>
      </c>
      <c r="B19" s="228" t="s">
        <v>31</v>
      </c>
      <c r="C19" s="254">
        <v>10</v>
      </c>
    </row>
    <row r="20" spans="1:4">
      <c r="A20" s="44">
        <v>2020</v>
      </c>
      <c r="B20" s="35" t="s">
        <v>31</v>
      </c>
      <c r="C20" s="44">
        <v>80</v>
      </c>
    </row>
    <row r="21" spans="1:4">
      <c r="A21" s="254">
        <v>2022</v>
      </c>
      <c r="B21" s="228" t="s">
        <v>31</v>
      </c>
      <c r="C21" s="254">
        <v>80</v>
      </c>
    </row>
    <row r="22" spans="1:4" ht="15" thickBot="1"/>
    <row r="23" spans="1:4" ht="15" thickBot="1">
      <c r="A23" s="428" t="s">
        <v>755</v>
      </c>
      <c r="B23" s="429" t="s">
        <v>756</v>
      </c>
      <c r="C23" s="429" t="s">
        <v>104</v>
      </c>
      <c r="D23" s="429" t="s">
        <v>167</v>
      </c>
    </row>
    <row r="24" spans="1:4" ht="15.5" thickTop="1" thickBot="1">
      <c r="A24" s="430" t="s">
        <v>757</v>
      </c>
      <c r="B24" s="431" t="s">
        <v>67</v>
      </c>
      <c r="C24" s="432">
        <v>2024</v>
      </c>
      <c r="D24" s="432">
        <v>51.48</v>
      </c>
    </row>
    <row r="25" spans="1:4" ht="15" thickBot="1">
      <c r="A25" s="430" t="s">
        <v>758</v>
      </c>
      <c r="B25" s="431" t="s">
        <v>67</v>
      </c>
      <c r="C25" s="432">
        <v>2024</v>
      </c>
      <c r="D25" s="432">
        <v>63.89</v>
      </c>
    </row>
    <row r="26" spans="1:4" ht="15" thickBot="1">
      <c r="A26" s="430" t="s">
        <v>759</v>
      </c>
      <c r="B26" s="431" t="s">
        <v>67</v>
      </c>
      <c r="C26" s="432">
        <v>2024</v>
      </c>
      <c r="D26" s="432">
        <v>50</v>
      </c>
    </row>
    <row r="30" spans="1:4">
      <c r="B30" t="s">
        <v>643</v>
      </c>
    </row>
  </sheetData>
  <mergeCells count="1">
    <mergeCell ref="A1:C1"/>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31C49-45B6-482C-8195-8E24636D32A3}">
  <sheetPr>
    <tabColor theme="6" tint="0.39997558519241921"/>
  </sheetPr>
  <dimension ref="B1:E23"/>
  <sheetViews>
    <sheetView showGridLines="0" zoomScale="80" zoomScaleNormal="80" workbookViewId="0">
      <pane xSplit="1" ySplit="2" topLeftCell="B3" activePane="bottomRight" state="frozen"/>
      <selection pane="topRight" activeCell="B1" sqref="B1"/>
      <selection pane="bottomLeft" activeCell="A3" sqref="A3"/>
      <selection pane="bottomRight"/>
    </sheetView>
  </sheetViews>
  <sheetFormatPr defaultRowHeight="14.5"/>
  <cols>
    <col min="2" max="4" width="44.36328125" customWidth="1"/>
  </cols>
  <sheetData>
    <row r="1" spans="2:5" ht="55.75" customHeight="1">
      <c r="B1" s="433" t="s">
        <v>757</v>
      </c>
      <c r="C1" s="433" t="s">
        <v>758</v>
      </c>
      <c r="D1" s="433" t="s">
        <v>759</v>
      </c>
    </row>
    <row r="2" spans="2:5">
      <c r="B2" s="199">
        <v>51.48</v>
      </c>
      <c r="C2" s="199">
        <v>63.89</v>
      </c>
      <c r="D2" s="199">
        <v>50</v>
      </c>
      <c r="E2" s="317"/>
    </row>
    <row r="3" spans="2:5">
      <c r="E3" s="317"/>
    </row>
    <row r="4" spans="2:5">
      <c r="E4" s="317"/>
    </row>
    <row r="6" spans="2:5">
      <c r="B6" t="s">
        <v>643</v>
      </c>
    </row>
    <row r="23" ht="14.4" customHeight="1"/>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FBB7B-902E-46ED-81F8-E7D1DDDE8328}">
  <sheetPr>
    <tabColor theme="6" tint="0.39997558519241921"/>
  </sheetPr>
  <dimension ref="A1:C11"/>
  <sheetViews>
    <sheetView showGridLines="0" zoomScale="70" zoomScaleNormal="70" workbookViewId="0">
      <selection sqref="A1:A2"/>
    </sheetView>
  </sheetViews>
  <sheetFormatPr defaultRowHeight="14.5"/>
  <cols>
    <col min="1" max="1" width="11.453125" customWidth="1"/>
    <col min="2" max="3" width="23.453125" customWidth="1"/>
  </cols>
  <sheetData>
    <row r="1" spans="1:3" ht="43.4" customHeight="1">
      <c r="A1" s="486" t="s">
        <v>4</v>
      </c>
      <c r="B1" s="488" t="s">
        <v>253</v>
      </c>
      <c r="C1" s="489"/>
    </row>
    <row r="2" spans="1:3">
      <c r="A2" s="487"/>
      <c r="B2" s="220" t="s">
        <v>254</v>
      </c>
      <c r="C2" s="220" t="s">
        <v>150</v>
      </c>
    </row>
    <row r="3" spans="1:3">
      <c r="A3" s="218" t="s">
        <v>51</v>
      </c>
      <c r="B3" s="221">
        <v>19.100000000000001</v>
      </c>
      <c r="C3" s="221">
        <v>17.100000000000001</v>
      </c>
    </row>
    <row r="4" spans="1:3">
      <c r="A4" s="219" t="s">
        <v>105</v>
      </c>
      <c r="B4" s="222">
        <v>16.7</v>
      </c>
      <c r="C4" s="222">
        <v>14.8</v>
      </c>
    </row>
    <row r="5" spans="1:3">
      <c r="A5" s="219" t="s">
        <v>33</v>
      </c>
      <c r="B5" s="222">
        <v>15.1</v>
      </c>
      <c r="C5" s="222">
        <v>11.9</v>
      </c>
    </row>
    <row r="6" spans="1:3">
      <c r="A6" s="219" t="s">
        <v>43</v>
      </c>
      <c r="B6" s="222">
        <v>13.5</v>
      </c>
      <c r="C6" s="222">
        <v>12.1</v>
      </c>
    </row>
    <row r="7" spans="1:3">
      <c r="A7" s="219" t="s">
        <v>35</v>
      </c>
      <c r="B7" s="222">
        <v>10.5</v>
      </c>
      <c r="C7" s="222">
        <v>8.5</v>
      </c>
    </row>
    <row r="8" spans="1:3">
      <c r="A8" s="219" t="s">
        <v>42</v>
      </c>
      <c r="B8" s="222">
        <v>10.1</v>
      </c>
      <c r="C8" s="222">
        <v>8.3000000000000007</v>
      </c>
    </row>
    <row r="9" spans="1:3">
      <c r="A9" s="219" t="s">
        <v>40</v>
      </c>
      <c r="B9" s="222">
        <v>8.1999999999999993</v>
      </c>
      <c r="C9" s="222">
        <v>7.3</v>
      </c>
    </row>
    <row r="11" spans="1:3">
      <c r="A11" t="s">
        <v>255</v>
      </c>
    </row>
  </sheetData>
  <mergeCells count="2">
    <mergeCell ref="A1:A2"/>
    <mergeCell ref="B1:C1"/>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37F5E-B953-4852-AEC2-BCB98CB03463}">
  <sheetPr codeName="Sheet28">
    <tabColor theme="6" tint="0.39997558519241921"/>
  </sheetPr>
  <dimension ref="A1:G20"/>
  <sheetViews>
    <sheetView showGridLines="0" tabSelected="1" zoomScale="70" zoomScaleNormal="70" workbookViewId="0">
      <pane xSplit="1" ySplit="2" topLeftCell="B3" activePane="bottomRight" state="frozen"/>
      <selection pane="topRight"/>
      <selection pane="bottomLeft"/>
      <selection pane="bottomRight" activeCell="C1" sqref="C1:D1"/>
    </sheetView>
  </sheetViews>
  <sheetFormatPr defaultColWidth="8.81640625" defaultRowHeight="14.5"/>
  <cols>
    <col min="1" max="1" width="17.1796875" style="113" bestFit="1" customWidth="1"/>
    <col min="2" max="2" width="10.81640625" style="113" bestFit="1" customWidth="1"/>
    <col min="3" max="4" width="23.54296875" style="113" customWidth="1"/>
    <col min="5" max="6" width="6.54296875" style="113" bestFit="1" customWidth="1"/>
    <col min="7" max="7" width="6" style="113" bestFit="1" customWidth="1"/>
    <col min="8" max="16384" width="8.81640625" style="113"/>
  </cols>
  <sheetData>
    <row r="1" spans="1:7" ht="27.65" customHeight="1">
      <c r="A1" s="112"/>
      <c r="B1" s="112"/>
      <c r="C1" s="490" t="s">
        <v>256</v>
      </c>
      <c r="D1" s="490"/>
    </row>
    <row r="2" spans="1:7">
      <c r="A2" s="114" t="s">
        <v>4</v>
      </c>
      <c r="B2" s="114" t="s">
        <v>104</v>
      </c>
      <c r="C2" s="115" t="s">
        <v>112</v>
      </c>
      <c r="D2" s="115" t="s">
        <v>143</v>
      </c>
    </row>
    <row r="3" spans="1:7">
      <c r="A3" s="116" t="s">
        <v>33</v>
      </c>
      <c r="B3" s="117">
        <v>2021</v>
      </c>
      <c r="C3" s="118">
        <v>15.8</v>
      </c>
      <c r="D3" s="119">
        <v>8.6879306647999996</v>
      </c>
      <c r="E3" s="120"/>
      <c r="F3" s="120"/>
    </row>
    <row r="4" spans="1:7">
      <c r="A4" s="116" t="s">
        <v>105</v>
      </c>
      <c r="B4" s="117">
        <v>2014</v>
      </c>
      <c r="C4" s="118">
        <v>34.200000000000003</v>
      </c>
      <c r="D4" s="119">
        <v>4.8561118205000007</v>
      </c>
      <c r="E4" s="120"/>
      <c r="F4" s="120"/>
    </row>
    <row r="5" spans="1:7">
      <c r="A5" s="116" t="s">
        <v>52</v>
      </c>
      <c r="B5" s="117">
        <v>2023</v>
      </c>
      <c r="C5" s="118">
        <v>29.6</v>
      </c>
      <c r="D5" s="119">
        <v>4.240973533713345</v>
      </c>
      <c r="E5" s="120"/>
      <c r="F5" s="120"/>
    </row>
    <row r="6" spans="1:7">
      <c r="A6" s="116" t="s">
        <v>32</v>
      </c>
      <c r="B6" s="117">
        <v>2021</v>
      </c>
      <c r="C6" s="118">
        <v>28.7</v>
      </c>
      <c r="D6" s="119">
        <v>3.2709553528999997</v>
      </c>
      <c r="E6" s="120"/>
      <c r="F6" s="120"/>
    </row>
    <row r="7" spans="1:7">
      <c r="A7" s="116" t="s">
        <v>35</v>
      </c>
      <c r="B7" s="117">
        <v>2018</v>
      </c>
      <c r="C7" s="118">
        <v>13.7</v>
      </c>
      <c r="D7" s="119">
        <v>2.2703683362999998</v>
      </c>
      <c r="E7" s="120"/>
      <c r="F7" s="120"/>
      <c r="G7" s="121"/>
    </row>
    <row r="8" spans="1:7">
      <c r="A8" s="116" t="s">
        <v>39</v>
      </c>
      <c r="B8" s="117">
        <v>2019</v>
      </c>
      <c r="C8" s="118">
        <v>35.4</v>
      </c>
      <c r="D8" s="119">
        <v>1.8318823801018866</v>
      </c>
      <c r="E8" s="120"/>
      <c r="F8" s="120"/>
    </row>
    <row r="9" spans="1:7">
      <c r="A9" s="116" t="s">
        <v>162</v>
      </c>
      <c r="B9" s="117">
        <v>2006</v>
      </c>
      <c r="C9" s="118">
        <v>13.3</v>
      </c>
      <c r="D9" s="119">
        <v>1.2366438087</v>
      </c>
      <c r="E9" s="120"/>
      <c r="F9" s="120"/>
    </row>
    <row r="10" spans="1:7">
      <c r="A10" s="116" t="s">
        <v>45</v>
      </c>
      <c r="B10" s="117">
        <v>2019</v>
      </c>
      <c r="C10" s="118">
        <v>3.8</v>
      </c>
      <c r="D10" s="119">
        <v>0.70046672529999998</v>
      </c>
      <c r="E10" s="120"/>
      <c r="F10" s="120"/>
    </row>
    <row r="11" spans="1:7">
      <c r="A11" s="116" t="s">
        <v>36</v>
      </c>
      <c r="B11" s="117">
        <v>2021</v>
      </c>
      <c r="C11" s="118">
        <v>36.6</v>
      </c>
      <c r="D11" s="119">
        <v>0.55673275041574111</v>
      </c>
      <c r="E11" s="120"/>
      <c r="F11" s="120"/>
    </row>
    <row r="12" spans="1:7">
      <c r="A12" s="116" t="s">
        <v>43</v>
      </c>
      <c r="B12" s="117">
        <v>2018</v>
      </c>
      <c r="C12" s="118">
        <v>9.6999999999999993</v>
      </c>
      <c r="D12" s="119">
        <v>0.50356717909999993</v>
      </c>
      <c r="E12" s="120"/>
      <c r="F12" s="120"/>
    </row>
    <row r="13" spans="1:7">
      <c r="A13" s="116" t="s">
        <v>51</v>
      </c>
      <c r="B13" s="117">
        <v>2019</v>
      </c>
      <c r="C13" s="118">
        <v>13.4</v>
      </c>
      <c r="D13" s="119">
        <v>0.33865344489999999</v>
      </c>
      <c r="E13" s="120"/>
      <c r="F13" s="120"/>
    </row>
    <row r="14" spans="1:7">
      <c r="A14" s="116" t="s">
        <v>49</v>
      </c>
      <c r="B14" s="117">
        <v>2014</v>
      </c>
      <c r="C14" s="118">
        <v>4</v>
      </c>
      <c r="D14" s="119">
        <v>0.28677649450000003</v>
      </c>
      <c r="E14" s="120"/>
      <c r="F14" s="120"/>
    </row>
    <row r="15" spans="1:7">
      <c r="A15" s="116" t="s">
        <v>46</v>
      </c>
      <c r="B15" s="117">
        <v>2009</v>
      </c>
      <c r="C15" s="118">
        <v>6.1</v>
      </c>
      <c r="D15" s="119">
        <v>0.25958976629999997</v>
      </c>
      <c r="E15" s="120"/>
      <c r="F15" s="120"/>
    </row>
    <row r="16" spans="1:7">
      <c r="A16" s="116" t="s">
        <v>42</v>
      </c>
      <c r="B16" s="117">
        <v>2018</v>
      </c>
      <c r="C16" s="118">
        <v>1.5</v>
      </c>
      <c r="D16" s="119">
        <v>0.200122882</v>
      </c>
      <c r="E16" s="120"/>
      <c r="F16" s="120"/>
    </row>
    <row r="17" spans="1:6">
      <c r="A17" s="116" t="s">
        <v>40</v>
      </c>
      <c r="B17" s="117">
        <v>2022</v>
      </c>
      <c r="C17" s="118">
        <v>20.7</v>
      </c>
      <c r="D17" s="119">
        <v>8.6589741766969833E-2</v>
      </c>
      <c r="E17" s="120"/>
      <c r="F17" s="120"/>
    </row>
    <row r="18" spans="1:6">
      <c r="A18" s="116" t="s">
        <v>47</v>
      </c>
      <c r="B18" s="117">
        <v>2012</v>
      </c>
      <c r="C18" s="118">
        <v>4.2</v>
      </c>
      <c r="D18" s="122">
        <v>3.9990256000000002E-2</v>
      </c>
      <c r="E18" s="120"/>
      <c r="F18" s="120"/>
    </row>
    <row r="19" spans="1:6">
      <c r="A19" s="116" t="s">
        <v>34</v>
      </c>
      <c r="B19" s="117">
        <v>2019</v>
      </c>
      <c r="C19" s="118">
        <v>6.5</v>
      </c>
      <c r="D19" s="122">
        <v>3.1376746961255607E-2</v>
      </c>
      <c r="E19" s="120"/>
      <c r="F19" s="120"/>
    </row>
    <row r="20" spans="1:6">
      <c r="A20" s="123" t="s">
        <v>67</v>
      </c>
      <c r="B20" s="124">
        <v>2024</v>
      </c>
      <c r="C20" s="125">
        <v>16.399999999999999</v>
      </c>
      <c r="D20" s="126">
        <f>SUM(D3:D19)</f>
        <v>29.398731884259195</v>
      </c>
    </row>
  </sheetData>
  <mergeCells count="1">
    <mergeCell ref="C1:D1"/>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19D08-AA5A-44BE-BACA-06FE0B296E3C}">
  <sheetPr codeName="Sheet29">
    <tabColor theme="6" tint="0.39997558519241921"/>
  </sheetPr>
  <dimension ref="A1:C17"/>
  <sheetViews>
    <sheetView showGridLines="0" zoomScale="70" zoomScaleNormal="70" workbookViewId="0"/>
  </sheetViews>
  <sheetFormatPr defaultRowHeight="14.5"/>
  <cols>
    <col min="1" max="1" width="14.81640625" bestFit="1" customWidth="1"/>
    <col min="2" max="3" width="21.1796875" customWidth="1"/>
  </cols>
  <sheetData>
    <row r="1" spans="1:3" ht="33.65" customHeight="1">
      <c r="A1" s="127" t="s">
        <v>231</v>
      </c>
      <c r="B1" s="491" t="s">
        <v>257</v>
      </c>
      <c r="C1" s="491"/>
    </row>
    <row r="2" spans="1:3">
      <c r="A2" s="64" t="s">
        <v>113</v>
      </c>
      <c r="B2" s="128" t="s">
        <v>104</v>
      </c>
      <c r="C2" s="128" t="s">
        <v>167</v>
      </c>
    </row>
    <row r="3" spans="1:3">
      <c r="A3" s="66" t="s">
        <v>67</v>
      </c>
      <c r="B3" s="66">
        <v>2002</v>
      </c>
      <c r="C3" s="73">
        <v>70.911000000000001</v>
      </c>
    </row>
    <row r="4" spans="1:3">
      <c r="A4" s="66" t="s">
        <v>67</v>
      </c>
      <c r="B4" s="66">
        <v>2007</v>
      </c>
      <c r="C4" s="73">
        <v>67.783000000000001</v>
      </c>
    </row>
    <row r="5" spans="1:3">
      <c r="A5" s="66" t="s">
        <v>67</v>
      </c>
      <c r="B5" s="66">
        <v>2012</v>
      </c>
      <c r="C5" s="73">
        <v>63.777000000000001</v>
      </c>
    </row>
    <row r="6" spans="1:3">
      <c r="A6" s="66" t="s">
        <v>67</v>
      </c>
      <c r="B6" s="66">
        <v>2017</v>
      </c>
      <c r="C6" s="73">
        <v>60.456000000000003</v>
      </c>
    </row>
    <row r="7" spans="1:3">
      <c r="A7" s="66" t="s">
        <v>67</v>
      </c>
      <c r="B7" s="66">
        <v>2022</v>
      </c>
      <c r="C7" s="73">
        <v>54.280999999999999</v>
      </c>
    </row>
    <row r="8" spans="1:3">
      <c r="A8" s="66" t="s">
        <v>121</v>
      </c>
      <c r="B8" s="66">
        <v>2002</v>
      </c>
      <c r="C8" s="73">
        <v>65.578000000000003</v>
      </c>
    </row>
    <row r="9" spans="1:3">
      <c r="A9" s="66" t="s">
        <v>121</v>
      </c>
      <c r="B9" s="66">
        <v>2007</v>
      </c>
      <c r="C9" s="73">
        <v>64.230999999999995</v>
      </c>
    </row>
    <row r="10" spans="1:3">
      <c r="A10" s="66" t="s">
        <v>121</v>
      </c>
      <c r="B10" s="66">
        <v>2012</v>
      </c>
      <c r="C10" s="73">
        <v>63.543999999999997</v>
      </c>
    </row>
    <row r="11" spans="1:3">
      <c r="A11" s="66" t="s">
        <v>121</v>
      </c>
      <c r="B11" s="66">
        <v>2017</v>
      </c>
      <c r="C11" s="73">
        <v>63.781999999999996</v>
      </c>
    </row>
    <row r="12" spans="1:3">
      <c r="A12" s="66" t="s">
        <v>121</v>
      </c>
      <c r="B12" s="66">
        <v>2022</v>
      </c>
      <c r="C12" s="73">
        <v>61.743000000000002</v>
      </c>
    </row>
    <row r="13" spans="1:3">
      <c r="A13" s="66" t="s">
        <v>120</v>
      </c>
      <c r="B13" s="66">
        <v>2002</v>
      </c>
      <c r="C13" s="73">
        <v>73.991</v>
      </c>
    </row>
    <row r="14" spans="1:3">
      <c r="A14" s="66" t="s">
        <v>120</v>
      </c>
      <c r="B14" s="66">
        <v>2007</v>
      </c>
      <c r="C14" s="73">
        <v>70.037999999999997</v>
      </c>
    </row>
    <row r="15" spans="1:3">
      <c r="A15" s="66" t="s">
        <v>120</v>
      </c>
      <c r="B15" s="66">
        <v>2012</v>
      </c>
      <c r="C15" s="73">
        <v>63.94</v>
      </c>
    </row>
    <row r="16" spans="1:3">
      <c r="A16" s="66" t="s">
        <v>120</v>
      </c>
      <c r="B16" s="66">
        <v>2017</v>
      </c>
      <c r="C16" s="73">
        <v>58.018000000000001</v>
      </c>
    </row>
    <row r="17" spans="1:3">
      <c r="A17" s="66" t="s">
        <v>120</v>
      </c>
      <c r="B17" s="66">
        <v>2022</v>
      </c>
      <c r="C17" s="73">
        <v>48.58</v>
      </c>
    </row>
  </sheetData>
  <mergeCells count="1">
    <mergeCell ref="B1:C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47A4D-056C-450A-851E-9D552478414F}">
  <sheetPr codeName="Sheet30">
    <tabColor theme="6" tint="0.39997558519241921"/>
  </sheetPr>
  <dimension ref="A1:E23"/>
  <sheetViews>
    <sheetView showGridLines="0" zoomScale="70" zoomScaleNormal="70" workbookViewId="0">
      <pane xSplit="1" ySplit="3" topLeftCell="B4" activePane="bottomRight" state="frozen"/>
      <selection pane="topRight"/>
      <selection pane="bottomLeft"/>
      <selection pane="bottomRight"/>
    </sheetView>
  </sheetViews>
  <sheetFormatPr defaultRowHeight="14.5"/>
  <cols>
    <col min="1" max="1" width="15" bestFit="1" customWidth="1"/>
    <col min="2" max="2" width="11" style="53" bestFit="1" customWidth="1"/>
    <col min="3" max="5" width="12" customWidth="1"/>
  </cols>
  <sheetData>
    <row r="1" spans="1:5" ht="16">
      <c r="A1" s="63" t="s">
        <v>258</v>
      </c>
      <c r="B1" s="68"/>
      <c r="C1" s="492" t="s">
        <v>259</v>
      </c>
      <c r="D1" s="492"/>
      <c r="E1" s="492"/>
    </row>
    <row r="2" spans="1:5">
      <c r="A2" s="63"/>
      <c r="B2" s="68"/>
      <c r="C2" s="493" t="s">
        <v>260</v>
      </c>
      <c r="D2" s="495" t="s">
        <v>261</v>
      </c>
      <c r="E2" s="495"/>
    </row>
    <row r="3" spans="1:5">
      <c r="A3" s="64" t="s">
        <v>113</v>
      </c>
      <c r="B3" s="69" t="s">
        <v>104</v>
      </c>
      <c r="C3" s="494"/>
      <c r="D3" s="129" t="s">
        <v>102</v>
      </c>
      <c r="E3" s="129" t="s">
        <v>262</v>
      </c>
    </row>
    <row r="4" spans="1:5">
      <c r="A4" s="66" t="s">
        <v>67</v>
      </c>
      <c r="B4" s="71">
        <v>2021</v>
      </c>
      <c r="C4" s="88">
        <v>3931</v>
      </c>
      <c r="D4" s="88">
        <v>769</v>
      </c>
      <c r="E4" s="14">
        <v>19.562449999999998</v>
      </c>
    </row>
    <row r="5" spans="1:5">
      <c r="A5" s="66" t="s">
        <v>67</v>
      </c>
      <c r="B5" s="71">
        <v>2022</v>
      </c>
      <c r="C5" s="88">
        <v>3809</v>
      </c>
      <c r="D5" s="88">
        <v>702</v>
      </c>
      <c r="E5" s="14">
        <v>18.430029999999999</v>
      </c>
    </row>
    <row r="6" spans="1:5">
      <c r="A6" s="66" t="s">
        <v>67</v>
      </c>
      <c r="B6" s="71">
        <v>2023</v>
      </c>
      <c r="C6" s="88">
        <v>3588</v>
      </c>
      <c r="D6" s="88">
        <v>637</v>
      </c>
      <c r="E6" s="14">
        <v>17.753620000000002</v>
      </c>
    </row>
    <row r="7" spans="1:5">
      <c r="A7" s="66" t="s">
        <v>67</v>
      </c>
      <c r="B7" s="71">
        <v>2024</v>
      </c>
      <c r="C7" s="88">
        <v>3766</v>
      </c>
      <c r="D7" s="88">
        <v>668</v>
      </c>
      <c r="E7" s="14">
        <v>17.737649999999999</v>
      </c>
    </row>
    <row r="8" spans="1:5">
      <c r="A8" s="66" t="s">
        <v>144</v>
      </c>
      <c r="B8" s="71">
        <v>2021</v>
      </c>
      <c r="C8" s="88">
        <v>423</v>
      </c>
      <c r="D8" s="88">
        <v>63</v>
      </c>
      <c r="E8" s="14">
        <v>14.89362</v>
      </c>
    </row>
    <row r="9" spans="1:5">
      <c r="A9" s="66" t="s">
        <v>144</v>
      </c>
      <c r="B9" s="71">
        <v>2022</v>
      </c>
      <c r="C9" s="88">
        <v>424</v>
      </c>
      <c r="D9" s="88">
        <v>61</v>
      </c>
      <c r="E9" s="14">
        <v>14.38679</v>
      </c>
    </row>
    <row r="10" spans="1:5">
      <c r="A10" s="66" t="s">
        <v>144</v>
      </c>
      <c r="B10" s="71">
        <v>2023</v>
      </c>
      <c r="C10" s="88">
        <v>426</v>
      </c>
      <c r="D10" s="88">
        <v>66</v>
      </c>
      <c r="E10" s="14">
        <v>15.49296</v>
      </c>
    </row>
    <row r="11" spans="1:5">
      <c r="A11" s="66" t="s">
        <v>144</v>
      </c>
      <c r="B11" s="71">
        <v>2024</v>
      </c>
      <c r="C11" s="88">
        <v>431</v>
      </c>
      <c r="D11" s="88">
        <v>62</v>
      </c>
      <c r="E11" s="14">
        <v>14.385149999999999</v>
      </c>
    </row>
    <row r="12" spans="1:5">
      <c r="A12" s="66" t="s">
        <v>119</v>
      </c>
      <c r="B12" s="71">
        <v>2021</v>
      </c>
      <c r="C12" s="88">
        <v>1262</v>
      </c>
      <c r="D12" s="88">
        <v>288</v>
      </c>
      <c r="E12" s="14">
        <v>22.820920000000001</v>
      </c>
    </row>
    <row r="13" spans="1:5">
      <c r="A13" s="66" t="s">
        <v>119</v>
      </c>
      <c r="B13" s="71">
        <v>2022</v>
      </c>
      <c r="C13" s="88">
        <v>1189</v>
      </c>
      <c r="D13" s="88">
        <v>213</v>
      </c>
      <c r="E13" s="14">
        <v>17.914210000000001</v>
      </c>
    </row>
    <row r="14" spans="1:5">
      <c r="A14" s="66" t="s">
        <v>119</v>
      </c>
      <c r="B14" s="71">
        <v>2023</v>
      </c>
      <c r="C14" s="88">
        <v>972</v>
      </c>
      <c r="D14" s="88">
        <v>156</v>
      </c>
      <c r="E14" s="14">
        <v>16.049379999999999</v>
      </c>
    </row>
    <row r="15" spans="1:5">
      <c r="A15" s="66" t="s">
        <v>119</v>
      </c>
      <c r="B15" s="71">
        <v>2024</v>
      </c>
      <c r="C15" s="88">
        <v>1125</v>
      </c>
      <c r="D15" s="88">
        <v>180</v>
      </c>
      <c r="E15" s="14">
        <v>16</v>
      </c>
    </row>
    <row r="16" spans="1:5">
      <c r="A16" s="66" t="s">
        <v>120</v>
      </c>
      <c r="B16" s="71">
        <v>2021</v>
      </c>
      <c r="C16" s="88">
        <v>1428</v>
      </c>
      <c r="D16" s="88">
        <v>298</v>
      </c>
      <c r="E16" s="14">
        <v>20.86835</v>
      </c>
    </row>
    <row r="17" spans="1:5">
      <c r="A17" s="66" t="s">
        <v>120</v>
      </c>
      <c r="B17" s="71">
        <v>2022</v>
      </c>
      <c r="C17" s="88">
        <v>1429</v>
      </c>
      <c r="D17" s="88">
        <v>309</v>
      </c>
      <c r="E17" s="14">
        <v>21.62351</v>
      </c>
    </row>
    <row r="18" spans="1:5">
      <c r="A18" s="66" t="s">
        <v>120</v>
      </c>
      <c r="B18" s="71">
        <v>2023</v>
      </c>
      <c r="C18" s="88">
        <v>1429</v>
      </c>
      <c r="D18" s="88">
        <v>309</v>
      </c>
      <c r="E18" s="14">
        <v>21.62351</v>
      </c>
    </row>
    <row r="19" spans="1:5">
      <c r="A19" s="66" t="s">
        <v>120</v>
      </c>
      <c r="B19" s="71">
        <v>2024</v>
      </c>
      <c r="C19" s="88">
        <v>1425</v>
      </c>
      <c r="D19" s="88">
        <v>310</v>
      </c>
      <c r="E19" s="14">
        <v>21.754390000000001</v>
      </c>
    </row>
    <row r="20" spans="1:5">
      <c r="A20" s="66" t="s">
        <v>121</v>
      </c>
      <c r="B20" s="71">
        <v>2021</v>
      </c>
      <c r="C20" s="88">
        <v>818</v>
      </c>
      <c r="D20" s="88">
        <v>120</v>
      </c>
      <c r="E20" s="14">
        <v>14.669930000000001</v>
      </c>
    </row>
    <row r="21" spans="1:5">
      <c r="A21" s="66" t="s">
        <v>121</v>
      </c>
      <c r="B21" s="71">
        <v>2022</v>
      </c>
      <c r="C21" s="88">
        <v>767</v>
      </c>
      <c r="D21" s="88">
        <v>119</v>
      </c>
      <c r="E21" s="14">
        <v>15.514989999999999</v>
      </c>
    </row>
    <row r="22" spans="1:5">
      <c r="A22" s="66" t="s">
        <v>121</v>
      </c>
      <c r="B22" s="71">
        <v>2023</v>
      </c>
      <c r="C22" s="88">
        <v>761</v>
      </c>
      <c r="D22" s="88">
        <v>106</v>
      </c>
      <c r="E22" s="14">
        <v>13.929040000000001</v>
      </c>
    </row>
    <row r="23" spans="1:5">
      <c r="A23" s="66" t="s">
        <v>121</v>
      </c>
      <c r="B23" s="71">
        <v>2024</v>
      </c>
      <c r="C23" s="88">
        <v>785</v>
      </c>
      <c r="D23" s="88">
        <v>116</v>
      </c>
      <c r="E23" s="14">
        <v>14.77707</v>
      </c>
    </row>
  </sheetData>
  <mergeCells count="3">
    <mergeCell ref="C1:E1"/>
    <mergeCell ref="C2:C3"/>
    <mergeCell ref="D2:E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A598F-8A49-4B0B-B8FA-7CEF42F8B48E}">
  <sheetPr codeName="Sheet31">
    <tabColor theme="6" tint="0.39997558519241921"/>
  </sheetPr>
  <dimension ref="A1:C22"/>
  <sheetViews>
    <sheetView showGridLines="0" zoomScale="70" zoomScaleNormal="70" workbookViewId="0">
      <selection sqref="A1:C22"/>
    </sheetView>
  </sheetViews>
  <sheetFormatPr defaultRowHeight="14.5"/>
  <cols>
    <col min="1" max="1" width="19.1796875" bestFit="1" customWidth="1"/>
    <col min="2" max="3" width="22.81640625" customWidth="1"/>
  </cols>
  <sheetData>
    <row r="1" spans="1:3" ht="32.5" customHeight="1">
      <c r="A1" s="127" t="s">
        <v>263</v>
      </c>
      <c r="B1" s="496" t="s">
        <v>264</v>
      </c>
      <c r="C1" s="496"/>
    </row>
    <row r="2" spans="1:3">
      <c r="A2" s="64" t="s">
        <v>113</v>
      </c>
      <c r="B2" s="128" t="s">
        <v>104</v>
      </c>
      <c r="C2" s="128" t="s">
        <v>167</v>
      </c>
    </row>
    <row r="3" spans="1:3">
      <c r="A3" s="66" t="s">
        <v>67</v>
      </c>
      <c r="B3" s="67">
        <v>2020</v>
      </c>
      <c r="C3" s="14">
        <v>17.899999999999999</v>
      </c>
    </row>
    <row r="4" spans="1:3">
      <c r="A4" s="66" t="s">
        <v>67</v>
      </c>
      <c r="B4" s="67">
        <v>2021</v>
      </c>
      <c r="C4" s="14">
        <v>17.899999999999999</v>
      </c>
    </row>
    <row r="5" spans="1:3">
      <c r="A5" s="66" t="s">
        <v>67</v>
      </c>
      <c r="B5" s="67">
        <v>2022</v>
      </c>
      <c r="C5" s="14">
        <v>19.8</v>
      </c>
    </row>
    <row r="6" spans="1:3">
      <c r="A6" s="66" t="s">
        <v>67</v>
      </c>
      <c r="B6" s="67">
        <v>2023</v>
      </c>
      <c r="C6" s="14">
        <v>19.5</v>
      </c>
    </row>
    <row r="7" spans="1:3">
      <c r="A7" s="66" t="s">
        <v>144</v>
      </c>
      <c r="B7" s="67">
        <v>2020</v>
      </c>
      <c r="C7" s="14">
        <v>1.4</v>
      </c>
    </row>
    <row r="8" spans="1:3">
      <c r="A8" s="66" t="s">
        <v>144</v>
      </c>
      <c r="B8" s="67">
        <v>2021</v>
      </c>
      <c r="C8" s="14">
        <v>1.4</v>
      </c>
    </row>
    <row r="9" spans="1:3">
      <c r="A9" s="66" t="s">
        <v>144</v>
      </c>
      <c r="B9" s="67">
        <v>2022</v>
      </c>
      <c r="C9" s="14">
        <v>1.4</v>
      </c>
    </row>
    <row r="10" spans="1:3">
      <c r="A10" s="66" t="s">
        <v>144</v>
      </c>
      <c r="B10" s="67">
        <v>2023</v>
      </c>
      <c r="C10" s="14">
        <v>1.3</v>
      </c>
    </row>
    <row r="11" spans="1:3">
      <c r="A11" s="66" t="s">
        <v>119</v>
      </c>
      <c r="B11" s="67">
        <v>2020</v>
      </c>
      <c r="C11" s="14">
        <v>22.5</v>
      </c>
    </row>
    <row r="12" spans="1:3">
      <c r="A12" s="66" t="s">
        <v>119</v>
      </c>
      <c r="B12" s="67">
        <v>2021</v>
      </c>
      <c r="C12" s="14">
        <v>22.5</v>
      </c>
    </row>
    <row r="13" spans="1:3">
      <c r="A13" s="66" t="s">
        <v>119</v>
      </c>
      <c r="B13" s="67">
        <v>2022</v>
      </c>
      <c r="C13" s="14">
        <v>25.5</v>
      </c>
    </row>
    <row r="14" spans="1:3">
      <c r="A14" s="66" t="s">
        <v>119</v>
      </c>
      <c r="B14" s="67">
        <v>2023</v>
      </c>
      <c r="C14" s="14">
        <v>25.5</v>
      </c>
    </row>
    <row r="15" spans="1:3">
      <c r="A15" s="66" t="s">
        <v>120</v>
      </c>
      <c r="B15" s="67">
        <v>2020</v>
      </c>
      <c r="C15" s="14">
        <v>9.3000000000000007</v>
      </c>
    </row>
    <row r="16" spans="1:3">
      <c r="A16" s="66" t="s">
        <v>120</v>
      </c>
      <c r="B16" s="67">
        <v>2021</v>
      </c>
      <c r="C16" s="14">
        <v>9.3000000000000007</v>
      </c>
    </row>
    <row r="17" spans="1:3">
      <c r="A17" s="66" t="s">
        <v>120</v>
      </c>
      <c r="B17" s="67">
        <v>2022</v>
      </c>
      <c r="C17" s="14">
        <v>9.1999999999999993</v>
      </c>
    </row>
    <row r="18" spans="1:3">
      <c r="A18" s="66" t="s">
        <v>120</v>
      </c>
      <c r="B18" s="67">
        <v>2023</v>
      </c>
      <c r="C18" s="14">
        <v>8</v>
      </c>
    </row>
    <row r="19" spans="1:3">
      <c r="A19" s="66" t="s">
        <v>121</v>
      </c>
      <c r="B19" s="67">
        <v>2020</v>
      </c>
      <c r="C19" s="14">
        <v>30.7</v>
      </c>
    </row>
    <row r="20" spans="1:3">
      <c r="A20" s="66" t="s">
        <v>121</v>
      </c>
      <c r="B20" s="67">
        <v>2021</v>
      </c>
      <c r="C20" s="14">
        <v>31.7</v>
      </c>
    </row>
    <row r="21" spans="1:3">
      <c r="A21" s="66" t="s">
        <v>121</v>
      </c>
      <c r="B21" s="67">
        <v>2022</v>
      </c>
      <c r="C21" s="14">
        <v>31.7</v>
      </c>
    </row>
    <row r="22" spans="1:3">
      <c r="A22" s="66" t="s">
        <v>121</v>
      </c>
      <c r="B22" s="67">
        <v>2023</v>
      </c>
      <c r="C22" s="14">
        <v>31.7</v>
      </c>
    </row>
  </sheetData>
  <mergeCells count="1">
    <mergeCell ref="B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44D61-D974-4115-86E9-206CE46B4B7B}">
  <sheetPr codeName="Sheet5">
    <tabColor theme="4" tint="0.39997558519241921"/>
  </sheetPr>
  <dimension ref="A1:E27"/>
  <sheetViews>
    <sheetView showGridLines="0" zoomScale="70" zoomScaleNormal="70" workbookViewId="0">
      <pane xSplit="1" ySplit="1" topLeftCell="B2" activePane="bottomRight" state="frozen"/>
      <selection pane="topRight" sqref="A1:I1"/>
      <selection pane="bottomLeft" sqref="A1:I1"/>
      <selection pane="bottomRight" activeCell="T5" sqref="T5"/>
    </sheetView>
  </sheetViews>
  <sheetFormatPr defaultRowHeight="14.5"/>
  <cols>
    <col min="1" max="1" width="25.453125" bestFit="1" customWidth="1"/>
    <col min="2" max="5" width="14.453125" customWidth="1"/>
  </cols>
  <sheetData>
    <row r="1" spans="1:5" ht="40.4" customHeight="1">
      <c r="A1" s="22" t="s">
        <v>4</v>
      </c>
      <c r="B1" s="441" t="s">
        <v>70</v>
      </c>
      <c r="C1" s="441"/>
      <c r="D1" s="441" t="s">
        <v>71</v>
      </c>
      <c r="E1" s="441"/>
    </row>
    <row r="2" spans="1:5">
      <c r="A2" s="23"/>
      <c r="B2" s="24" t="s">
        <v>2</v>
      </c>
      <c r="C2" s="24" t="s">
        <v>3</v>
      </c>
      <c r="D2" s="25" t="s">
        <v>2</v>
      </c>
      <c r="E2" s="25" t="s">
        <v>3</v>
      </c>
    </row>
    <row r="3" spans="1:5">
      <c r="A3" s="13" t="s">
        <v>72</v>
      </c>
      <c r="B3" s="18">
        <v>42.22</v>
      </c>
      <c r="C3" s="18">
        <v>61.22</v>
      </c>
      <c r="D3" s="18">
        <v>25.36</v>
      </c>
      <c r="E3" s="18">
        <v>10.56</v>
      </c>
    </row>
    <row r="4" spans="1:5">
      <c r="A4" s="13" t="s">
        <v>73</v>
      </c>
      <c r="B4" s="18">
        <v>70.165999999999997</v>
      </c>
      <c r="C4" s="18">
        <v>84.837999999999994</v>
      </c>
      <c r="D4" s="18">
        <v>16.262</v>
      </c>
      <c r="E4" s="18">
        <v>7.4729999999999999</v>
      </c>
    </row>
    <row r="5" spans="1:5">
      <c r="A5" s="13" t="s">
        <v>74</v>
      </c>
      <c r="B5" s="18">
        <v>57.27</v>
      </c>
      <c r="C5" s="18">
        <v>77.47</v>
      </c>
      <c r="D5" s="18">
        <v>22.135000000000002</v>
      </c>
      <c r="E5" s="18">
        <v>14.151999999999999</v>
      </c>
    </row>
    <row r="6" spans="1:5">
      <c r="A6" s="13" t="s">
        <v>75</v>
      </c>
      <c r="B6" s="18">
        <v>44.262</v>
      </c>
      <c r="C6" s="18">
        <v>81.784000000000006</v>
      </c>
      <c r="D6" s="18">
        <v>26.757999999999999</v>
      </c>
      <c r="E6" s="18">
        <v>9.6679999999999993</v>
      </c>
    </row>
    <row r="7" spans="1:5">
      <c r="A7" s="13" t="s">
        <v>76</v>
      </c>
      <c r="B7" s="18">
        <v>62.63</v>
      </c>
      <c r="C7" s="18">
        <v>82.61</v>
      </c>
      <c r="D7" s="18">
        <v>29.244</v>
      </c>
      <c r="E7" s="18">
        <v>13.686</v>
      </c>
    </row>
    <row r="8" spans="1:5">
      <c r="A8" s="13" t="s">
        <v>77</v>
      </c>
      <c r="B8" s="18">
        <v>49.265000000000001</v>
      </c>
      <c r="C8" s="18">
        <v>70.66</v>
      </c>
      <c r="D8" s="18">
        <v>35.72</v>
      </c>
      <c r="E8" s="18">
        <v>21.829000000000001</v>
      </c>
    </row>
    <row r="9" spans="1:5">
      <c r="A9" s="13" t="s">
        <v>78</v>
      </c>
      <c r="B9" s="18">
        <v>60.85</v>
      </c>
      <c r="C9" s="18">
        <v>88.26</v>
      </c>
      <c r="D9" s="18">
        <v>9.25</v>
      </c>
      <c r="E9" s="18">
        <v>2.4700000000000002</v>
      </c>
    </row>
    <row r="10" spans="1:5">
      <c r="A10" s="13" t="s">
        <v>79</v>
      </c>
      <c r="B10" s="18">
        <v>51.634999999999998</v>
      </c>
      <c r="C10" s="18">
        <v>71.316999999999993</v>
      </c>
      <c r="D10" s="18">
        <v>16.532</v>
      </c>
      <c r="E10" s="18">
        <v>12.752000000000001</v>
      </c>
    </row>
    <row r="11" spans="1:5">
      <c r="A11" s="13" t="s">
        <v>80</v>
      </c>
      <c r="B11" s="18">
        <v>60.14</v>
      </c>
      <c r="C11" s="18">
        <v>75.2</v>
      </c>
      <c r="D11" s="18">
        <v>35.1</v>
      </c>
      <c r="E11" s="18">
        <v>19.38</v>
      </c>
    </row>
    <row r="12" spans="1:5">
      <c r="A12" s="13" t="s">
        <v>81</v>
      </c>
      <c r="B12" s="18">
        <v>50.777000000000001</v>
      </c>
      <c r="C12" s="18">
        <v>78.162999999999997</v>
      </c>
      <c r="D12" s="18">
        <v>26.213999999999999</v>
      </c>
      <c r="E12" s="18">
        <v>9.4770000000000003</v>
      </c>
    </row>
    <row r="13" spans="1:5">
      <c r="A13" s="13" t="s">
        <v>82</v>
      </c>
      <c r="B13" s="18">
        <v>60.7</v>
      </c>
      <c r="C13" s="18">
        <v>91.94</v>
      </c>
      <c r="D13" s="18">
        <v>10.16</v>
      </c>
      <c r="E13" s="18">
        <v>1.18</v>
      </c>
    </row>
    <row r="14" spans="1:5">
      <c r="A14" s="13" t="s">
        <v>83</v>
      </c>
      <c r="B14" s="18">
        <v>69.47</v>
      </c>
      <c r="C14" s="18">
        <v>97.64</v>
      </c>
      <c r="D14" s="18">
        <v>0.66</v>
      </c>
      <c r="E14" s="18">
        <v>0.16</v>
      </c>
    </row>
    <row r="15" spans="1:5">
      <c r="A15" s="13" t="s">
        <v>84</v>
      </c>
      <c r="B15" s="18">
        <v>53.363</v>
      </c>
      <c r="C15" s="18">
        <v>93.626999999999995</v>
      </c>
      <c r="D15" s="18">
        <v>17.023</v>
      </c>
      <c r="E15" s="18">
        <v>2.1949999999999998</v>
      </c>
    </row>
    <row r="16" spans="1:5">
      <c r="A16" s="13" t="s">
        <v>85</v>
      </c>
      <c r="B16" s="18">
        <v>39.817999999999998</v>
      </c>
      <c r="C16" s="18">
        <v>72.381</v>
      </c>
      <c r="D16" s="18">
        <v>27.850999999999999</v>
      </c>
      <c r="E16" s="18">
        <v>17.055</v>
      </c>
    </row>
    <row r="17" spans="1:5">
      <c r="A17" s="13" t="s">
        <v>86</v>
      </c>
      <c r="B17" s="18">
        <v>24.827000000000002</v>
      </c>
      <c r="C17" s="18">
        <v>51.713999999999999</v>
      </c>
      <c r="D17" s="18">
        <v>36.747999999999998</v>
      </c>
      <c r="E17" s="18">
        <v>13.167999999999999</v>
      </c>
    </row>
    <row r="18" spans="1:5">
      <c r="A18" s="13" t="s">
        <v>21</v>
      </c>
      <c r="B18" s="18">
        <v>74.31</v>
      </c>
      <c r="C18" s="18">
        <v>84.822000000000003</v>
      </c>
      <c r="D18" s="18">
        <v>29.58</v>
      </c>
      <c r="E18" s="18">
        <v>13.004</v>
      </c>
    </row>
    <row r="19" spans="1:5">
      <c r="A19" s="13" t="s">
        <v>87</v>
      </c>
      <c r="B19" s="18">
        <v>59.18</v>
      </c>
      <c r="C19" s="18">
        <v>94.784999999999997</v>
      </c>
      <c r="D19" s="18">
        <v>4.1360000000000001</v>
      </c>
      <c r="E19" s="18">
        <v>1.827</v>
      </c>
    </row>
    <row r="20" spans="1:5">
      <c r="A20" s="13" t="s">
        <v>88</v>
      </c>
      <c r="B20" s="18">
        <v>62.447000000000003</v>
      </c>
      <c r="C20" s="18">
        <v>90.751000000000005</v>
      </c>
      <c r="D20" s="18">
        <v>31.923999999999999</v>
      </c>
      <c r="E20" s="18">
        <v>12.01</v>
      </c>
    </row>
    <row r="21" spans="1:5">
      <c r="A21" s="13" t="s">
        <v>89</v>
      </c>
      <c r="B21" s="18">
        <v>61.639000000000003</v>
      </c>
      <c r="C21" s="18">
        <v>85.725999999999999</v>
      </c>
      <c r="D21" s="18">
        <v>45.113</v>
      </c>
      <c r="E21" s="18">
        <v>16.097999999999999</v>
      </c>
    </row>
    <row r="22" spans="1:5">
      <c r="A22" s="15" t="s">
        <v>53</v>
      </c>
      <c r="B22" s="26">
        <f>SUM(B3:B21)/19</f>
        <v>55.52468421052631</v>
      </c>
      <c r="C22" s="26">
        <f>SUM(C3:C21)/19</f>
        <v>80.784631578947383</v>
      </c>
      <c r="D22" s="26">
        <f>SUM(D3:D21)/19</f>
        <v>23.46157894736842</v>
      </c>
      <c r="E22" s="26">
        <f>SUM(E3:E21)/19</f>
        <v>10.428631578947366</v>
      </c>
    </row>
    <row r="23" spans="1:5">
      <c r="A23" s="15" t="s">
        <v>23</v>
      </c>
      <c r="B23" s="26">
        <v>75.269230769230774</v>
      </c>
      <c r="C23" s="26">
        <v>82.428153846153833</v>
      </c>
      <c r="D23" s="26">
        <v>4.1339999999999995</v>
      </c>
      <c r="E23" s="26">
        <v>3.5457692307692303</v>
      </c>
    </row>
    <row r="25" spans="1:5">
      <c r="A25" s="350" t="s">
        <v>605</v>
      </c>
      <c r="B25" s="333" t="s">
        <v>608</v>
      </c>
    </row>
    <row r="27" spans="1:5">
      <c r="A27" t="s">
        <v>26</v>
      </c>
      <c r="B27" t="s">
        <v>27</v>
      </c>
    </row>
  </sheetData>
  <mergeCells count="2">
    <mergeCell ref="B1:C1"/>
    <mergeCell ref="D1:E1"/>
  </mergeCells>
  <hyperlinks>
    <hyperlink ref="B25" r:id="rId1" display="https://databank.worldbank.org/source/world-development-indicators" xr:uid="{2EA5C643-B739-4098-9C94-5571F04855CE}"/>
  </hyperlinks>
  <pageMargins left="0.7" right="0.7" top="0.75" bottom="0.75" header="0.3" footer="0.3"/>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BD005-6524-4375-8417-29AD6646EA5D}">
  <sheetPr codeName="Sheet32">
    <tabColor theme="6" tint="0.39997558519241921"/>
  </sheetPr>
  <dimension ref="A1:I37"/>
  <sheetViews>
    <sheetView showGridLines="0" zoomScale="70" zoomScaleNormal="70" workbookViewId="0">
      <pane xSplit="1" ySplit="2" topLeftCell="B3" activePane="bottomRight" state="frozen"/>
      <selection activeCell="I3" sqref="I3:I9"/>
      <selection pane="topRight" activeCell="I3" sqref="I3:I9"/>
      <selection pane="bottomLeft" activeCell="I3" sqref="I3:I9"/>
      <selection pane="bottomRight" activeCell="I3" sqref="I3:I9"/>
    </sheetView>
  </sheetViews>
  <sheetFormatPr defaultRowHeight="14.5"/>
  <cols>
    <col min="1" max="5" width="13.54296875" style="63" customWidth="1"/>
  </cols>
  <sheetData>
    <row r="1" spans="1:9" ht="16">
      <c r="A1" s="64" t="s">
        <v>101</v>
      </c>
      <c r="B1" s="64"/>
      <c r="C1" s="497" t="s">
        <v>265</v>
      </c>
      <c r="D1" s="497"/>
      <c r="E1" s="497"/>
    </row>
    <row r="2" spans="1:9" ht="43.5">
      <c r="A2" s="83" t="s">
        <v>113</v>
      </c>
      <c r="B2" s="83" t="s">
        <v>104</v>
      </c>
      <c r="C2" s="130" t="s">
        <v>266</v>
      </c>
      <c r="D2" s="130" t="s">
        <v>267</v>
      </c>
      <c r="E2" s="130" t="s">
        <v>268</v>
      </c>
    </row>
    <row r="3" spans="1:9">
      <c r="A3" s="66" t="s">
        <v>67</v>
      </c>
      <c r="B3" s="66">
        <v>2000</v>
      </c>
      <c r="C3" s="66">
        <v>334.09800000000001</v>
      </c>
      <c r="D3" s="66">
        <v>3629.89</v>
      </c>
      <c r="E3" s="73">
        <v>9.1999999999999993</v>
      </c>
      <c r="H3" t="s">
        <v>110</v>
      </c>
      <c r="I3" s="58">
        <v>24.75</v>
      </c>
    </row>
    <row r="4" spans="1:9">
      <c r="A4" s="66" t="s">
        <v>67</v>
      </c>
      <c r="B4" s="66">
        <v>2005</v>
      </c>
      <c r="C4" s="66">
        <v>409.40800000000002</v>
      </c>
      <c r="D4" s="66">
        <v>4089</v>
      </c>
      <c r="E4" s="73">
        <v>10.01</v>
      </c>
      <c r="H4" t="s">
        <v>110</v>
      </c>
      <c r="I4" s="58">
        <v>26.64</v>
      </c>
    </row>
    <row r="5" spans="1:9">
      <c r="A5" s="66" t="s">
        <v>67</v>
      </c>
      <c r="B5" s="66">
        <v>2010</v>
      </c>
      <c r="C5" s="66">
        <v>518.84299999999996</v>
      </c>
      <c r="D5" s="66">
        <v>4290.67</v>
      </c>
      <c r="E5" s="73">
        <v>12.09</v>
      </c>
      <c r="H5" t="s">
        <v>110</v>
      </c>
      <c r="I5" s="58">
        <v>27.16</v>
      </c>
    </row>
    <row r="6" spans="1:9">
      <c r="A6" s="66" t="s">
        <v>67</v>
      </c>
      <c r="B6" s="66">
        <v>2015</v>
      </c>
      <c r="C6" s="66">
        <v>651.59799999999996</v>
      </c>
      <c r="D6" s="66">
        <v>6704.83</v>
      </c>
      <c r="E6" s="73">
        <v>9.7200000000000006</v>
      </c>
      <c r="H6" t="s">
        <v>110</v>
      </c>
      <c r="I6" s="58">
        <v>27.15</v>
      </c>
    </row>
    <row r="7" spans="1:9">
      <c r="A7" s="66" t="s">
        <v>67</v>
      </c>
      <c r="B7" s="66">
        <v>2020</v>
      </c>
      <c r="C7" s="66">
        <v>677.41</v>
      </c>
      <c r="D7" s="66">
        <v>5474.32</v>
      </c>
      <c r="E7" s="73">
        <v>12.37</v>
      </c>
      <c r="H7" t="s">
        <v>110</v>
      </c>
      <c r="I7" s="58">
        <v>28</v>
      </c>
    </row>
    <row r="8" spans="1:9">
      <c r="A8" s="66" t="s">
        <v>67</v>
      </c>
      <c r="B8" s="66">
        <v>2021</v>
      </c>
      <c r="C8" s="66">
        <v>693.85</v>
      </c>
      <c r="D8" s="66">
        <v>4345.91</v>
      </c>
      <c r="E8" s="73">
        <v>15.97</v>
      </c>
      <c r="H8" t="s">
        <v>110</v>
      </c>
      <c r="I8" s="58">
        <v>28.5</v>
      </c>
    </row>
    <row r="9" spans="1:9">
      <c r="A9" s="258" t="s">
        <v>67</v>
      </c>
      <c r="B9" s="66">
        <v>2022</v>
      </c>
      <c r="C9" s="66">
        <v>712.66099999999994</v>
      </c>
      <c r="D9" s="66">
        <v>4540.1400000000003</v>
      </c>
      <c r="E9" s="260">
        <v>15.7</v>
      </c>
      <c r="H9" t="s">
        <v>110</v>
      </c>
      <c r="I9" s="58">
        <v>27.54</v>
      </c>
    </row>
    <row r="10" spans="1:9">
      <c r="A10" s="66" t="s">
        <v>144</v>
      </c>
      <c r="B10" s="66">
        <v>2000</v>
      </c>
      <c r="C10" s="66">
        <v>26.898</v>
      </c>
      <c r="D10" s="66">
        <v>479.69099999999997</v>
      </c>
      <c r="E10" s="73">
        <v>5.61</v>
      </c>
    </row>
    <row r="11" spans="1:9">
      <c r="A11" s="66" t="s">
        <v>144</v>
      </c>
      <c r="B11" s="66">
        <v>2005</v>
      </c>
      <c r="C11" s="66">
        <v>47.536000000000001</v>
      </c>
      <c r="D11" s="66">
        <v>622.87800000000004</v>
      </c>
      <c r="E11" s="73">
        <v>7.63</v>
      </c>
    </row>
    <row r="12" spans="1:9">
      <c r="A12" s="66" t="s">
        <v>144</v>
      </c>
      <c r="B12" s="66">
        <v>2010</v>
      </c>
      <c r="C12" s="66">
        <v>87.412000000000006</v>
      </c>
      <c r="D12" s="66">
        <v>1004.63</v>
      </c>
      <c r="E12" s="73">
        <v>8.6999999999999993</v>
      </c>
    </row>
    <row r="13" spans="1:9">
      <c r="A13" s="66" t="s">
        <v>144</v>
      </c>
      <c r="B13" s="66">
        <v>2015</v>
      </c>
      <c r="C13" s="66">
        <v>136.261</v>
      </c>
      <c r="D13" s="66">
        <v>1235.92</v>
      </c>
      <c r="E13" s="73">
        <v>11.03</v>
      </c>
    </row>
    <row r="14" spans="1:9">
      <c r="A14" s="66" t="s">
        <v>144</v>
      </c>
      <c r="B14" s="66">
        <v>2020</v>
      </c>
      <c r="C14" s="66">
        <v>258.10300000000001</v>
      </c>
      <c r="D14" s="66">
        <v>1749.77</v>
      </c>
      <c r="E14" s="73">
        <v>14.75</v>
      </c>
    </row>
    <row r="15" spans="1:9">
      <c r="A15" s="66" t="s">
        <v>144</v>
      </c>
      <c r="B15" s="66">
        <v>2021</v>
      </c>
      <c r="C15" s="66">
        <v>293.69</v>
      </c>
      <c r="D15" s="66">
        <v>1756.79</v>
      </c>
      <c r="E15" s="73">
        <v>16.72</v>
      </c>
    </row>
    <row r="16" spans="1:9">
      <c r="A16" s="66" t="s">
        <v>144</v>
      </c>
      <c r="B16" s="66">
        <v>2022</v>
      </c>
      <c r="C16" s="66">
        <v>327.02300000000002</v>
      </c>
      <c r="D16" s="66">
        <v>1796.12</v>
      </c>
      <c r="E16" s="73">
        <v>18.21</v>
      </c>
    </row>
    <row r="17" spans="1:5">
      <c r="A17" s="66" t="s">
        <v>119</v>
      </c>
      <c r="B17" s="66">
        <v>2000</v>
      </c>
      <c r="C17" s="66">
        <v>65.905000000000001</v>
      </c>
      <c r="D17" s="66">
        <v>793.17399999999998</v>
      </c>
      <c r="E17" s="73">
        <v>8.31</v>
      </c>
    </row>
    <row r="18" spans="1:5">
      <c r="A18" s="66" t="s">
        <v>119</v>
      </c>
      <c r="B18" s="66">
        <v>2005</v>
      </c>
      <c r="C18" s="66">
        <v>93.155000000000001</v>
      </c>
      <c r="D18" s="66">
        <v>907.38099999999997</v>
      </c>
      <c r="E18" s="73">
        <v>10.27</v>
      </c>
    </row>
    <row r="19" spans="1:5">
      <c r="A19" s="66" t="s">
        <v>119</v>
      </c>
      <c r="B19" s="66">
        <v>2010</v>
      </c>
      <c r="C19" s="66">
        <v>107.953</v>
      </c>
      <c r="D19" s="66">
        <v>922.87199999999996</v>
      </c>
      <c r="E19" s="73">
        <v>11.7</v>
      </c>
    </row>
    <row r="20" spans="1:5">
      <c r="A20" s="66" t="s">
        <v>119</v>
      </c>
      <c r="B20" s="66">
        <v>2015</v>
      </c>
      <c r="C20" s="66">
        <v>111.471</v>
      </c>
      <c r="D20" s="66">
        <v>793.55600000000004</v>
      </c>
      <c r="E20" s="73">
        <v>14.05</v>
      </c>
    </row>
    <row r="21" spans="1:5">
      <c r="A21" s="66" t="s">
        <v>119</v>
      </c>
      <c r="B21" s="66">
        <v>2020</v>
      </c>
      <c r="C21" s="66">
        <v>103.87</v>
      </c>
      <c r="D21" s="66">
        <v>662.726</v>
      </c>
      <c r="E21" s="73">
        <v>15.67</v>
      </c>
    </row>
    <row r="22" spans="1:5">
      <c r="A22" s="66" t="s">
        <v>119</v>
      </c>
      <c r="B22" s="66">
        <v>2021</v>
      </c>
      <c r="C22" s="66">
        <v>104.59399999999999</v>
      </c>
      <c r="D22" s="66">
        <v>655.55700000000002</v>
      </c>
      <c r="E22" s="73">
        <v>15.95</v>
      </c>
    </row>
    <row r="23" spans="1:5">
      <c r="A23" s="66" t="s">
        <v>119</v>
      </c>
      <c r="B23" s="66">
        <v>2022</v>
      </c>
      <c r="C23" s="66">
        <v>103.842</v>
      </c>
      <c r="D23" s="66">
        <v>721.99699999999996</v>
      </c>
      <c r="E23" s="73">
        <v>14.38</v>
      </c>
    </row>
    <row r="24" spans="1:5">
      <c r="A24" s="66" t="s">
        <v>120</v>
      </c>
      <c r="B24" s="66">
        <v>2000</v>
      </c>
      <c r="C24" s="66">
        <v>211.20599999999999</v>
      </c>
      <c r="D24" s="66">
        <v>2089.37</v>
      </c>
      <c r="E24" s="73">
        <v>10.11</v>
      </c>
    </row>
    <row r="25" spans="1:5">
      <c r="A25" s="66" t="s">
        <v>120</v>
      </c>
      <c r="B25" s="66">
        <v>2005</v>
      </c>
      <c r="C25" s="66">
        <v>221.137</v>
      </c>
      <c r="D25" s="66">
        <v>2196.06</v>
      </c>
      <c r="E25" s="73">
        <v>10.07</v>
      </c>
    </row>
    <row r="26" spans="1:5">
      <c r="A26" s="66" t="s">
        <v>120</v>
      </c>
      <c r="B26" s="66">
        <v>2010</v>
      </c>
      <c r="C26" s="66">
        <v>258.07100000000003</v>
      </c>
      <c r="D26" s="66">
        <v>1884.66</v>
      </c>
      <c r="E26" s="73">
        <v>13.69</v>
      </c>
    </row>
    <row r="27" spans="1:5">
      <c r="A27" s="66" t="s">
        <v>120</v>
      </c>
      <c r="B27" s="66">
        <v>2015</v>
      </c>
      <c r="C27" s="66">
        <v>318.73700000000002</v>
      </c>
      <c r="D27" s="66">
        <v>4176.3100000000004</v>
      </c>
      <c r="E27" s="73">
        <v>7.63</v>
      </c>
    </row>
    <row r="28" spans="1:5">
      <c r="A28" s="66" t="s">
        <v>120</v>
      </c>
      <c r="B28" s="66">
        <v>2020</v>
      </c>
      <c r="C28" s="66">
        <v>208.179</v>
      </c>
      <c r="D28" s="66">
        <v>2491.0700000000002</v>
      </c>
      <c r="E28" s="73">
        <v>8.36</v>
      </c>
    </row>
    <row r="29" spans="1:5">
      <c r="A29" s="66" t="s">
        <v>120</v>
      </c>
      <c r="B29" s="66">
        <v>2021</v>
      </c>
      <c r="C29" s="66">
        <v>187.77799999999999</v>
      </c>
      <c r="D29" s="66">
        <v>1364.47</v>
      </c>
      <c r="E29" s="73">
        <v>13.76</v>
      </c>
    </row>
    <row r="30" spans="1:5">
      <c r="A30" s="66" t="s">
        <v>120</v>
      </c>
      <c r="B30" s="66">
        <v>2022</v>
      </c>
      <c r="C30" s="66">
        <v>171.767</v>
      </c>
      <c r="D30" s="66">
        <v>1400.61</v>
      </c>
      <c r="E30" s="73">
        <v>12.26</v>
      </c>
    </row>
    <row r="31" spans="1:5">
      <c r="A31" s="66" t="s">
        <v>121</v>
      </c>
      <c r="B31" s="66">
        <v>2000</v>
      </c>
      <c r="C31" s="66">
        <v>30.088000000000001</v>
      </c>
      <c r="D31" s="66">
        <v>267.65300000000002</v>
      </c>
      <c r="E31" s="73">
        <v>11.24</v>
      </c>
    </row>
    <row r="32" spans="1:5">
      <c r="A32" s="66" t="s">
        <v>121</v>
      </c>
      <c r="B32" s="66">
        <v>2005</v>
      </c>
      <c r="C32" s="66">
        <v>47.58</v>
      </c>
      <c r="D32" s="66">
        <v>362.68299999999999</v>
      </c>
      <c r="E32" s="73">
        <v>13.12</v>
      </c>
    </row>
    <row r="33" spans="1:5">
      <c r="A33" s="66" t="s">
        <v>121</v>
      </c>
      <c r="B33" s="66">
        <v>2010</v>
      </c>
      <c r="C33" s="66">
        <v>65.406000000000006</v>
      </c>
      <c r="D33" s="66">
        <v>478.51</v>
      </c>
      <c r="E33" s="73">
        <v>13.67</v>
      </c>
    </row>
    <row r="34" spans="1:5">
      <c r="A34" s="66" t="s">
        <v>121</v>
      </c>
      <c r="B34" s="66">
        <v>2015</v>
      </c>
      <c r="C34" s="66">
        <v>85.129000000000005</v>
      </c>
      <c r="D34" s="66">
        <v>499.053</v>
      </c>
      <c r="E34" s="73">
        <v>17.059999999999999</v>
      </c>
    </row>
    <row r="35" spans="1:5">
      <c r="A35" s="66" t="s">
        <v>121</v>
      </c>
      <c r="B35" s="66">
        <v>2020</v>
      </c>
      <c r="C35" s="66">
        <v>107.258</v>
      </c>
      <c r="D35" s="66">
        <v>570.75900000000001</v>
      </c>
      <c r="E35" s="73">
        <v>18.79</v>
      </c>
    </row>
    <row r="36" spans="1:5">
      <c r="A36" s="66" t="s">
        <v>121</v>
      </c>
      <c r="B36" s="66">
        <v>2021</v>
      </c>
      <c r="C36" s="66">
        <v>107.789</v>
      </c>
      <c r="D36" s="66">
        <v>569.09199999999998</v>
      </c>
      <c r="E36" s="73">
        <v>18.940000000000001</v>
      </c>
    </row>
    <row r="37" spans="1:5">
      <c r="A37" s="66" t="s">
        <v>121</v>
      </c>
      <c r="B37" s="66">
        <v>2022</v>
      </c>
      <c r="C37" s="66">
        <v>110.02800000000001</v>
      </c>
      <c r="D37" s="66">
        <v>621.41499999999996</v>
      </c>
      <c r="E37" s="73">
        <v>17.71</v>
      </c>
    </row>
  </sheetData>
  <mergeCells count="1">
    <mergeCell ref="C1:E1"/>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8FBC9-6984-419F-B742-040B1B9BF6ED}">
  <sheetPr codeName="Sheet33">
    <tabColor theme="6" tint="0.39997558519241921"/>
  </sheetPr>
  <dimension ref="A1:N11"/>
  <sheetViews>
    <sheetView showGridLines="0" zoomScale="70" zoomScaleNormal="70" workbookViewId="0">
      <pane xSplit="2" ySplit="3" topLeftCell="C4" activePane="bottomRight" state="frozen"/>
      <selection activeCell="I3" sqref="I3:I9"/>
      <selection pane="topRight" activeCell="I3" sqref="I3:I9"/>
      <selection pane="bottomLeft" activeCell="I3" sqref="I3:I9"/>
      <selection pane="bottomRight" activeCell="I3" sqref="I3:I9"/>
    </sheetView>
  </sheetViews>
  <sheetFormatPr defaultRowHeight="14.5"/>
  <cols>
    <col min="1" max="1" width="11.81640625" bestFit="1" customWidth="1"/>
    <col min="2" max="2" width="11.81640625" customWidth="1"/>
    <col min="3" max="14" width="13.81640625" customWidth="1"/>
  </cols>
  <sheetData>
    <row r="1" spans="1:14" ht="16">
      <c r="A1" t="s">
        <v>269</v>
      </c>
      <c r="C1" s="498" t="s">
        <v>270</v>
      </c>
      <c r="D1" s="498"/>
      <c r="E1" s="498"/>
      <c r="F1" s="498"/>
      <c r="G1" s="498"/>
      <c r="H1" s="498"/>
      <c r="I1" s="498" t="s">
        <v>271</v>
      </c>
      <c r="J1" s="498"/>
      <c r="K1" s="498"/>
      <c r="L1" s="498"/>
      <c r="M1" s="498"/>
      <c r="N1" s="498"/>
    </row>
    <row r="2" spans="1:14">
      <c r="C2" s="499" t="s">
        <v>102</v>
      </c>
      <c r="D2" s="499"/>
      <c r="E2" s="499"/>
      <c r="F2" s="499" t="s">
        <v>112</v>
      </c>
      <c r="G2" s="499"/>
      <c r="H2" s="499"/>
      <c r="I2" s="499" t="s">
        <v>102</v>
      </c>
      <c r="J2" s="499"/>
      <c r="K2" s="499"/>
      <c r="L2" s="499" t="s">
        <v>112</v>
      </c>
      <c r="M2" s="499"/>
      <c r="N2" s="499"/>
    </row>
    <row r="3" spans="1:14">
      <c r="A3" s="35" t="s">
        <v>113</v>
      </c>
      <c r="B3" s="35" t="s">
        <v>104</v>
      </c>
      <c r="C3" s="131" t="s">
        <v>114</v>
      </c>
      <c r="D3" s="131" t="s">
        <v>115</v>
      </c>
      <c r="E3" s="131" t="s">
        <v>116</v>
      </c>
      <c r="F3" s="131" t="s">
        <v>114</v>
      </c>
      <c r="G3" s="131" t="s">
        <v>115</v>
      </c>
      <c r="H3" s="131" t="s">
        <v>116</v>
      </c>
      <c r="I3" s="131" t="s">
        <v>114</v>
      </c>
      <c r="J3" s="131" t="s">
        <v>115</v>
      </c>
      <c r="K3" s="131" t="s">
        <v>116</v>
      </c>
      <c r="L3" s="131" t="s">
        <v>114</v>
      </c>
      <c r="M3" s="131" t="s">
        <v>115</v>
      </c>
      <c r="N3" s="131" t="s">
        <v>116</v>
      </c>
    </row>
    <row r="4" spans="1:14">
      <c r="A4" s="35" t="s">
        <v>67</v>
      </c>
      <c r="B4" s="35">
        <v>2020</v>
      </c>
      <c r="C4" s="132">
        <v>266540987</v>
      </c>
      <c r="D4" s="132">
        <v>119980835</v>
      </c>
      <c r="E4" s="132">
        <v>146560152</v>
      </c>
      <c r="F4" s="60">
        <v>77.2</v>
      </c>
      <c r="G4" s="60">
        <v>72.3</v>
      </c>
      <c r="H4" s="60">
        <v>81.7</v>
      </c>
      <c r="I4" s="132">
        <v>78795800</v>
      </c>
      <c r="J4" s="132">
        <v>45967761</v>
      </c>
      <c r="K4" s="132">
        <v>32828039</v>
      </c>
      <c r="L4" s="60">
        <v>22.8</v>
      </c>
      <c r="M4" s="60">
        <v>27.7</v>
      </c>
      <c r="N4" s="60">
        <v>18.3</v>
      </c>
    </row>
    <row r="5" spans="1:14">
      <c r="A5" s="35" t="s">
        <v>67</v>
      </c>
      <c r="B5" s="35">
        <v>2021</v>
      </c>
      <c r="C5" s="132">
        <v>278582081</v>
      </c>
      <c r="D5" s="132">
        <v>126289870</v>
      </c>
      <c r="E5" s="132">
        <v>152292211</v>
      </c>
      <c r="F5" s="60">
        <v>79.2</v>
      </c>
      <c r="G5" s="60">
        <v>74.599999999999994</v>
      </c>
      <c r="H5" s="60">
        <v>83.4</v>
      </c>
      <c r="I5" s="132">
        <v>73311858</v>
      </c>
      <c r="J5" s="132">
        <v>42999500</v>
      </c>
      <c r="K5" s="132">
        <v>30312358</v>
      </c>
      <c r="L5" s="60">
        <v>20.8</v>
      </c>
      <c r="M5" s="60">
        <v>25.4</v>
      </c>
      <c r="N5" s="60">
        <v>16.600000000000001</v>
      </c>
    </row>
    <row r="6" spans="1:14">
      <c r="A6" s="35" t="s">
        <v>67</v>
      </c>
      <c r="B6" s="35">
        <v>2022</v>
      </c>
      <c r="C6" s="132">
        <v>291245480</v>
      </c>
      <c r="D6" s="132">
        <v>132680620</v>
      </c>
      <c r="E6" s="132">
        <v>158564860</v>
      </c>
      <c r="F6" s="60">
        <v>81</v>
      </c>
      <c r="G6" s="60">
        <v>76.7</v>
      </c>
      <c r="H6" s="60">
        <v>84.9</v>
      </c>
      <c r="I6" s="132">
        <v>68507607</v>
      </c>
      <c r="J6" s="132">
        <v>40305847</v>
      </c>
      <c r="K6" s="132">
        <v>28201760</v>
      </c>
      <c r="L6" s="60">
        <v>19</v>
      </c>
      <c r="M6" s="60">
        <v>23.3</v>
      </c>
      <c r="N6" s="60">
        <v>15.1</v>
      </c>
    </row>
    <row r="7" spans="1:14">
      <c r="A7" s="35" t="s">
        <v>67</v>
      </c>
      <c r="B7" s="35">
        <v>2023</v>
      </c>
      <c r="C7" s="132">
        <v>304572387</v>
      </c>
      <c r="D7" s="132">
        <v>139412544</v>
      </c>
      <c r="E7" s="132">
        <v>165159843</v>
      </c>
      <c r="F7" s="60">
        <v>82.6</v>
      </c>
      <c r="G7" s="60">
        <v>78.7</v>
      </c>
      <c r="H7" s="60">
        <v>86.3</v>
      </c>
      <c r="I7" s="132">
        <v>63950616</v>
      </c>
      <c r="J7" s="132">
        <v>37731730</v>
      </c>
      <c r="K7" s="132">
        <v>26218886</v>
      </c>
      <c r="L7" s="60">
        <v>17.399999999999999</v>
      </c>
      <c r="M7" s="60">
        <v>21.3</v>
      </c>
      <c r="N7" s="60">
        <v>13.7</v>
      </c>
    </row>
    <row r="11" spans="1:14">
      <c r="C11" s="133"/>
    </row>
  </sheetData>
  <mergeCells count="6">
    <mergeCell ref="C1:H1"/>
    <mergeCell ref="I1:N1"/>
    <mergeCell ref="C2:E2"/>
    <mergeCell ref="F2:H2"/>
    <mergeCell ref="I2:K2"/>
    <mergeCell ref="L2:N2"/>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6C52A-A1AB-461C-A111-E119FA45C3CF}">
  <sheetPr>
    <tabColor theme="0" tint="-0.499984740745262"/>
  </sheetPr>
  <dimension ref="A1:AY26"/>
  <sheetViews>
    <sheetView zoomScale="70" zoomScaleNormal="70" workbookViewId="0">
      <selection activeCell="A22" sqref="A22:A23"/>
    </sheetView>
  </sheetViews>
  <sheetFormatPr defaultRowHeight="14.5"/>
  <cols>
    <col min="1" max="1" width="14.81640625" style="240" customWidth="1"/>
    <col min="2" max="4" width="23" style="240" customWidth="1"/>
    <col min="5" max="51" width="8.81640625" style="240"/>
  </cols>
  <sheetData>
    <row r="1" spans="1:4" ht="118" customHeight="1">
      <c r="A1" s="28" t="s">
        <v>4</v>
      </c>
      <c r="B1" s="28" t="s">
        <v>467</v>
      </c>
      <c r="C1" s="28" t="s">
        <v>252</v>
      </c>
      <c r="D1" s="28" t="s">
        <v>465</v>
      </c>
    </row>
    <row r="2" spans="1:4">
      <c r="A2" s="13" t="s">
        <v>31</v>
      </c>
      <c r="B2" s="273">
        <v>50</v>
      </c>
      <c r="C2" s="273">
        <v>80</v>
      </c>
      <c r="D2" s="273">
        <v>1</v>
      </c>
    </row>
    <row r="3" spans="1:4">
      <c r="A3" s="13" t="s">
        <v>32</v>
      </c>
      <c r="B3" s="273">
        <v>29.2</v>
      </c>
      <c r="C3" s="273">
        <v>70</v>
      </c>
      <c r="D3" s="273">
        <v>1</v>
      </c>
    </row>
    <row r="4" spans="1:4">
      <c r="A4" s="13" t="s">
        <v>33</v>
      </c>
      <c r="B4" s="273">
        <v>27.7</v>
      </c>
      <c r="C4" s="273"/>
      <c r="D4" s="273">
        <v>1</v>
      </c>
    </row>
    <row r="5" spans="1:4">
      <c r="A5" s="13" t="s">
        <v>34</v>
      </c>
      <c r="B5" s="273">
        <v>26.2</v>
      </c>
      <c r="C5" s="273"/>
      <c r="D5" s="273"/>
    </row>
    <row r="6" spans="1:4">
      <c r="A6" s="13" t="s">
        <v>35</v>
      </c>
      <c r="B6" s="273">
        <v>24.3</v>
      </c>
      <c r="C6" s="273">
        <v>70</v>
      </c>
      <c r="D6" s="273">
        <v>1</v>
      </c>
    </row>
    <row r="7" spans="1:4">
      <c r="A7" s="13" t="s">
        <v>36</v>
      </c>
      <c r="B7" s="273">
        <v>23.3</v>
      </c>
      <c r="C7" s="273"/>
      <c r="D7" s="273"/>
    </row>
    <row r="8" spans="1:4">
      <c r="A8" s="13" t="s">
        <v>37</v>
      </c>
      <c r="B8" s="273">
        <v>20</v>
      </c>
      <c r="C8" s="273"/>
      <c r="D8" s="273"/>
    </row>
    <row r="9" spans="1:4">
      <c r="A9" s="13" t="s">
        <v>38</v>
      </c>
      <c r="B9" s="273">
        <v>19.899999999999999</v>
      </c>
      <c r="C9" s="273"/>
      <c r="D9" s="273">
        <v>1</v>
      </c>
    </row>
    <row r="10" spans="1:4">
      <c r="A10" s="13" t="s">
        <v>39</v>
      </c>
      <c r="B10" s="273">
        <v>19.600000000000001</v>
      </c>
      <c r="C10" s="273"/>
      <c r="D10" s="273">
        <v>1</v>
      </c>
    </row>
    <row r="11" spans="1:4">
      <c r="A11" s="13" t="s">
        <v>40</v>
      </c>
      <c r="B11" s="273">
        <v>16.7</v>
      </c>
      <c r="C11" s="273"/>
      <c r="D11" s="273"/>
    </row>
    <row r="12" spans="1:4">
      <c r="A12" s="13" t="s">
        <v>41</v>
      </c>
      <c r="B12" s="273">
        <v>16.5</v>
      </c>
      <c r="C12" s="273"/>
      <c r="D12" s="273"/>
    </row>
    <row r="13" spans="1:4">
      <c r="A13" s="13" t="s">
        <v>42</v>
      </c>
      <c r="B13" s="273">
        <v>15.7</v>
      </c>
      <c r="C13" s="273">
        <v>40</v>
      </c>
      <c r="D13" s="273">
        <v>1</v>
      </c>
    </row>
    <row r="14" spans="1:4">
      <c r="A14" s="13" t="s">
        <v>43</v>
      </c>
      <c r="B14" s="273">
        <v>13.1</v>
      </c>
      <c r="C14" s="273">
        <v>40</v>
      </c>
      <c r="D14" s="273">
        <v>1</v>
      </c>
    </row>
    <row r="15" spans="1:4">
      <c r="A15" s="13" t="s">
        <v>44</v>
      </c>
      <c r="B15" s="273">
        <v>10.4</v>
      </c>
      <c r="C15" s="273"/>
      <c r="D15" s="273"/>
    </row>
    <row r="16" spans="1:4">
      <c r="A16" s="13" t="s">
        <v>45</v>
      </c>
      <c r="B16" s="273">
        <v>7.9</v>
      </c>
      <c r="C16" s="273"/>
      <c r="D16" s="273"/>
    </row>
    <row r="17" spans="1:4">
      <c r="A17" s="13" t="s">
        <v>46</v>
      </c>
      <c r="B17" s="273">
        <v>6.3</v>
      </c>
      <c r="C17" s="273">
        <v>50</v>
      </c>
      <c r="D17" s="273"/>
    </row>
    <row r="18" spans="1:4">
      <c r="A18" s="13" t="s">
        <v>47</v>
      </c>
      <c r="B18" s="273">
        <v>4.4000000000000004</v>
      </c>
      <c r="C18" s="273"/>
      <c r="D18" s="273"/>
    </row>
    <row r="19" spans="1:4">
      <c r="A19" s="13" t="s">
        <v>48</v>
      </c>
      <c r="B19" s="273">
        <v>3.1</v>
      </c>
      <c r="C19" s="273"/>
      <c r="D19" s="273"/>
    </row>
    <row r="20" spans="1:4">
      <c r="A20" s="13" t="s">
        <v>50</v>
      </c>
      <c r="B20" s="273">
        <v>0</v>
      </c>
      <c r="C20" s="273">
        <v>0</v>
      </c>
      <c r="D20" s="273">
        <v>1</v>
      </c>
    </row>
    <row r="21" spans="1:4">
      <c r="A21" s="13" t="s">
        <v>51</v>
      </c>
      <c r="B21" s="273"/>
      <c r="C21" s="273">
        <v>30</v>
      </c>
      <c r="D21" s="273">
        <v>1</v>
      </c>
    </row>
    <row r="22" spans="1:4">
      <c r="A22" s="15" t="s">
        <v>53</v>
      </c>
      <c r="B22" s="273">
        <v>17.728237791932099</v>
      </c>
      <c r="C22" s="273"/>
      <c r="D22" s="273"/>
    </row>
    <row r="23" spans="1:4">
      <c r="A23" s="15" t="s">
        <v>466</v>
      </c>
      <c r="B23" s="273">
        <v>26.9</v>
      </c>
      <c r="C23" s="273"/>
      <c r="D23" s="273"/>
    </row>
    <row r="26" spans="1:4">
      <c r="A26" s="357" t="s">
        <v>25</v>
      </c>
      <c r="B26" s="353" t="s">
        <v>620</v>
      </c>
    </row>
  </sheetData>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7146-3446-440A-BD11-67272077B93D}">
  <sheetPr>
    <tabColor theme="0" tint="-0.499984740745262"/>
  </sheetPr>
  <dimension ref="A1:AQ11"/>
  <sheetViews>
    <sheetView zoomScale="70" zoomScaleNormal="70" workbookViewId="0">
      <selection activeCell="A11" sqref="A11:B11"/>
    </sheetView>
  </sheetViews>
  <sheetFormatPr defaultRowHeight="14.5"/>
  <cols>
    <col min="1" max="1" width="13.1796875" style="240" customWidth="1"/>
    <col min="2" max="43" width="8.81640625" style="240"/>
  </cols>
  <sheetData>
    <row r="1" spans="1:3" ht="16">
      <c r="A1" s="28" t="s">
        <v>103</v>
      </c>
      <c r="B1" s="28" t="s">
        <v>470</v>
      </c>
      <c r="C1" s="28" t="s">
        <v>472</v>
      </c>
    </row>
    <row r="2" spans="1:3">
      <c r="A2" s="13" t="s">
        <v>51</v>
      </c>
      <c r="B2" s="297">
        <v>19.100000000000001</v>
      </c>
      <c r="C2" s="298" t="s">
        <v>471</v>
      </c>
    </row>
    <row r="3" spans="1:3">
      <c r="A3" s="13" t="s">
        <v>105</v>
      </c>
      <c r="B3" s="297">
        <v>16.7</v>
      </c>
      <c r="C3" s="298" t="s">
        <v>471</v>
      </c>
    </row>
    <row r="4" spans="1:3">
      <c r="A4" s="13" t="s">
        <v>33</v>
      </c>
      <c r="B4" s="297">
        <v>15.1</v>
      </c>
      <c r="C4" s="298" t="s">
        <v>471</v>
      </c>
    </row>
    <row r="5" spans="1:3">
      <c r="A5" s="13" t="s">
        <v>43</v>
      </c>
      <c r="B5" s="297">
        <v>13.5</v>
      </c>
      <c r="C5" s="298">
        <v>2017</v>
      </c>
    </row>
    <row r="6" spans="1:3">
      <c r="A6" s="13" t="s">
        <v>35</v>
      </c>
      <c r="B6" s="297">
        <v>10.5</v>
      </c>
      <c r="C6" s="298">
        <v>2018</v>
      </c>
    </row>
    <row r="7" spans="1:3">
      <c r="A7" s="13" t="s">
        <v>42</v>
      </c>
      <c r="B7" s="297">
        <v>10.1</v>
      </c>
      <c r="C7" s="298">
        <v>2017</v>
      </c>
    </row>
    <row r="8" spans="1:3">
      <c r="A8" s="13" t="s">
        <v>40</v>
      </c>
      <c r="B8" s="297">
        <v>8.1999999999999993</v>
      </c>
      <c r="C8" s="298">
        <v>2014</v>
      </c>
    </row>
    <row r="11" spans="1:3">
      <c r="A11" s="357" t="s">
        <v>25</v>
      </c>
      <c r="B11" s="359" t="s">
        <v>621</v>
      </c>
    </row>
  </sheetData>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4C6A-1CA9-45EC-9BFA-FDB2908F6FC5}">
  <sheetPr>
    <tabColor theme="0" tint="-0.499984740745262"/>
  </sheetPr>
  <dimension ref="A1:AL9"/>
  <sheetViews>
    <sheetView zoomScale="70" zoomScaleNormal="70" workbookViewId="0">
      <selection activeCell="A9" sqref="A9:B9"/>
    </sheetView>
  </sheetViews>
  <sheetFormatPr defaultRowHeight="14.5"/>
  <cols>
    <col min="1" max="1" width="12.54296875" style="240" customWidth="1"/>
    <col min="2" max="38" width="8.81640625" style="240"/>
  </cols>
  <sheetData>
    <row r="1" spans="1:2" ht="16">
      <c r="A1" s="28" t="s">
        <v>104</v>
      </c>
      <c r="B1" s="28" t="s">
        <v>167</v>
      </c>
    </row>
    <row r="2" spans="1:2">
      <c r="A2" s="13">
        <v>2002</v>
      </c>
      <c r="B2" s="275">
        <v>0.70911000000000002</v>
      </c>
    </row>
    <row r="3" spans="1:2">
      <c r="A3" s="13">
        <v>2007</v>
      </c>
      <c r="B3" s="275">
        <v>0.67783000000000004</v>
      </c>
    </row>
    <row r="4" spans="1:2">
      <c r="A4" s="13">
        <v>2012</v>
      </c>
      <c r="B4" s="275">
        <v>0.63776999999999995</v>
      </c>
    </row>
    <row r="5" spans="1:2">
      <c r="A5" s="13">
        <v>2017</v>
      </c>
      <c r="B5" s="275">
        <v>0.60455999999999999</v>
      </c>
    </row>
    <row r="6" spans="1:2">
      <c r="A6" s="13">
        <v>2022</v>
      </c>
      <c r="B6" s="275">
        <v>0.54281000000000001</v>
      </c>
    </row>
    <row r="9" spans="1:2">
      <c r="A9" s="357" t="s">
        <v>25</v>
      </c>
      <c r="B9" s="360" t="s">
        <v>622</v>
      </c>
    </row>
  </sheetData>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1E52-A7BA-4744-85F0-A999802610D4}">
  <sheetPr>
    <tabColor theme="0" tint="-0.499984740745262"/>
  </sheetPr>
  <dimension ref="A1:AE13"/>
  <sheetViews>
    <sheetView zoomScale="70" zoomScaleNormal="70" workbookViewId="0">
      <selection activeCell="A6" sqref="A6"/>
    </sheetView>
  </sheetViews>
  <sheetFormatPr defaultRowHeight="14.5"/>
  <cols>
    <col min="1" max="1" width="11.54296875" style="240" customWidth="1"/>
    <col min="2" max="31" width="8.81640625" style="240"/>
  </cols>
  <sheetData>
    <row r="1" spans="1:5" ht="16">
      <c r="A1" s="28" t="s">
        <v>180</v>
      </c>
      <c r="B1" s="356" t="s">
        <v>2</v>
      </c>
      <c r="C1" s="356" t="s">
        <v>3</v>
      </c>
      <c r="D1" s="356" t="s">
        <v>195</v>
      </c>
      <c r="E1" s="356" t="s">
        <v>192</v>
      </c>
    </row>
    <row r="2" spans="1:5" ht="34.5" customHeight="1">
      <c r="A2" s="362" t="s">
        <v>491</v>
      </c>
      <c r="B2" s="299">
        <v>0.63800000000000001</v>
      </c>
      <c r="C2" s="299">
        <v>0.75</v>
      </c>
      <c r="D2" s="299">
        <v>0.5</v>
      </c>
      <c r="E2" s="299">
        <v>0.83</v>
      </c>
    </row>
    <row r="3" spans="1:5" ht="34.5" customHeight="1">
      <c r="A3" s="362" t="s">
        <v>492</v>
      </c>
      <c r="B3" s="300">
        <v>0.79</v>
      </c>
      <c r="C3" s="300">
        <v>0.87</v>
      </c>
      <c r="D3" s="241"/>
      <c r="E3" s="241"/>
    </row>
    <row r="5" spans="1:5" ht="32">
      <c r="A5" s="28" t="s">
        <v>180</v>
      </c>
      <c r="B5" s="356" t="s">
        <v>110</v>
      </c>
      <c r="C5" s="356" t="s">
        <v>369</v>
      </c>
    </row>
    <row r="6" spans="1:5" ht="27" customHeight="1">
      <c r="A6" s="362" t="s">
        <v>491</v>
      </c>
      <c r="B6" s="299">
        <v>0.68</v>
      </c>
      <c r="C6" s="299">
        <v>0.7</v>
      </c>
    </row>
    <row r="7" spans="1:5" ht="27" customHeight="1">
      <c r="A7" s="362" t="s">
        <v>492</v>
      </c>
      <c r="B7" s="300">
        <v>0.8</v>
      </c>
      <c r="C7" s="300">
        <v>0.83</v>
      </c>
    </row>
    <row r="13" spans="1:5">
      <c r="A13" s="357" t="s">
        <v>25</v>
      </c>
      <c r="B13" s="361" t="s">
        <v>623</v>
      </c>
    </row>
  </sheetData>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B5B3C-963D-490C-A776-D4714EEB984A}">
  <sheetPr codeName="Sheet35">
    <tabColor theme="6" tint="0.39997558519241921"/>
  </sheetPr>
  <dimension ref="A1:L31"/>
  <sheetViews>
    <sheetView showGridLines="0" zoomScale="70" zoomScaleNormal="70" workbookViewId="0">
      <pane xSplit="5" ySplit="2" topLeftCell="F3" activePane="bottomRight" state="frozen"/>
      <selection pane="topRight" activeCell="B1" sqref="B1:F1"/>
      <selection pane="bottomLeft" activeCell="B1" sqref="B1:F1"/>
      <selection pane="bottomRight" activeCell="A16" sqref="A16"/>
    </sheetView>
  </sheetViews>
  <sheetFormatPr defaultRowHeight="14.5"/>
  <cols>
    <col min="1" max="1" width="11.54296875" bestFit="1" customWidth="1"/>
    <col min="2" max="2" width="10.453125" bestFit="1" customWidth="1"/>
    <col min="5" max="5" width="22.54296875" bestFit="1" customWidth="1"/>
    <col min="6" max="6" width="12.1796875" customWidth="1"/>
    <col min="8" max="8" width="11.54296875" customWidth="1"/>
    <col min="10" max="10" width="12" bestFit="1" customWidth="1"/>
  </cols>
  <sheetData>
    <row r="1" spans="1:12">
      <c r="G1" s="500" t="s">
        <v>274</v>
      </c>
      <c r="H1" s="500"/>
      <c r="I1" s="500" t="s">
        <v>275</v>
      </c>
      <c r="J1" s="500"/>
    </row>
    <row r="2" spans="1:12">
      <c r="A2" s="35" t="s">
        <v>113</v>
      </c>
      <c r="B2" s="35" t="s">
        <v>104</v>
      </c>
      <c r="C2" s="35" t="s">
        <v>242</v>
      </c>
      <c r="D2" s="35" t="s">
        <v>180</v>
      </c>
      <c r="E2" s="35" t="s">
        <v>276</v>
      </c>
      <c r="F2" s="35" t="s">
        <v>277</v>
      </c>
      <c r="G2" s="141" t="s">
        <v>112</v>
      </c>
      <c r="H2" s="141" t="s">
        <v>102</v>
      </c>
      <c r="I2" s="141" t="s">
        <v>112</v>
      </c>
      <c r="J2" s="141" t="s">
        <v>102</v>
      </c>
      <c r="L2" s="138" t="s">
        <v>278</v>
      </c>
    </row>
    <row r="3" spans="1:12">
      <c r="A3" s="35" t="s">
        <v>67</v>
      </c>
      <c r="B3" s="46">
        <v>2022</v>
      </c>
      <c r="C3" s="38" t="s">
        <v>195</v>
      </c>
      <c r="D3" s="38" t="s">
        <v>279</v>
      </c>
      <c r="E3" s="38" t="s">
        <v>280</v>
      </c>
      <c r="F3" s="139">
        <v>187930334</v>
      </c>
      <c r="G3" s="140">
        <f t="shared" ref="G3:G14" si="0">H3/F3</f>
        <v>0.20000000106422414</v>
      </c>
      <c r="H3" s="139">
        <v>37586067</v>
      </c>
      <c r="I3" s="140">
        <f t="shared" ref="I3:I14" si="1">J3/F3</f>
        <v>0.79999999893577589</v>
      </c>
      <c r="J3" s="139">
        <f>F3-H3</f>
        <v>150344267</v>
      </c>
      <c r="L3" s="138" t="s">
        <v>281</v>
      </c>
    </row>
    <row r="4" spans="1:12">
      <c r="A4" s="35" t="s">
        <v>67</v>
      </c>
      <c r="B4" s="46">
        <v>2022</v>
      </c>
      <c r="C4" s="38" t="s">
        <v>192</v>
      </c>
      <c r="D4" s="38" t="s">
        <v>279</v>
      </c>
      <c r="E4" s="38" t="s">
        <v>280</v>
      </c>
      <c r="F4" s="139">
        <v>276754580</v>
      </c>
      <c r="G4" s="140">
        <f t="shared" si="0"/>
        <v>4.8000000578129545E-2</v>
      </c>
      <c r="H4" s="139">
        <v>13284220</v>
      </c>
      <c r="I4" s="140">
        <f t="shared" si="1"/>
        <v>0.95199999942187041</v>
      </c>
      <c r="J4" s="139">
        <f>F4-H4</f>
        <v>263470360</v>
      </c>
      <c r="L4" s="138" t="s">
        <v>282</v>
      </c>
    </row>
    <row r="5" spans="1:12">
      <c r="A5" s="35" t="s">
        <v>67</v>
      </c>
      <c r="B5" s="46">
        <v>2022</v>
      </c>
      <c r="C5" s="38" t="s">
        <v>191</v>
      </c>
      <c r="D5" s="38" t="s">
        <v>279</v>
      </c>
      <c r="E5" s="38" t="s">
        <v>280</v>
      </c>
      <c r="F5" s="139">
        <v>464684914</v>
      </c>
      <c r="G5" s="140">
        <f t="shared" si="0"/>
        <v>0.1094726458023124</v>
      </c>
      <c r="H5" s="139">
        <f>H4+H3</f>
        <v>50870287</v>
      </c>
      <c r="I5" s="140">
        <f t="shared" si="1"/>
        <v>0.89052735419768758</v>
      </c>
      <c r="J5" s="139">
        <f>J4+J3</f>
        <v>413814627</v>
      </c>
      <c r="L5" s="138" t="s">
        <v>283</v>
      </c>
    </row>
    <row r="6" spans="1:12">
      <c r="A6" s="35" t="s">
        <v>67</v>
      </c>
      <c r="B6" s="46">
        <v>2022</v>
      </c>
      <c r="C6" s="38" t="s">
        <v>195</v>
      </c>
      <c r="D6" s="38" t="s">
        <v>279</v>
      </c>
      <c r="E6" s="38" t="s">
        <v>284</v>
      </c>
      <c r="F6" s="139">
        <v>187930334</v>
      </c>
      <c r="G6" s="140">
        <f t="shared" si="0"/>
        <v>0.18399999757356894</v>
      </c>
      <c r="H6" s="139">
        <v>34579181</v>
      </c>
      <c r="I6" s="140">
        <f t="shared" si="1"/>
        <v>0.81600000242643111</v>
      </c>
      <c r="J6" s="139">
        <f>F6-H6</f>
        <v>153351153</v>
      </c>
      <c r="L6" s="138" t="s">
        <v>285</v>
      </c>
    </row>
    <row r="7" spans="1:12">
      <c r="A7" s="35" t="s">
        <v>67</v>
      </c>
      <c r="B7" s="46">
        <v>2022</v>
      </c>
      <c r="C7" s="38" t="s">
        <v>192</v>
      </c>
      <c r="D7" s="38" t="s">
        <v>279</v>
      </c>
      <c r="E7" s="38" t="s">
        <v>284</v>
      </c>
      <c r="F7" s="139">
        <v>276754580</v>
      </c>
      <c r="G7" s="140">
        <f t="shared" si="0"/>
        <v>5.8999999205071874E-2</v>
      </c>
      <c r="H7" s="139">
        <v>16328520</v>
      </c>
      <c r="I7" s="140">
        <f t="shared" si="1"/>
        <v>0.94100000079492818</v>
      </c>
      <c r="J7" s="139">
        <f>F7-H7</f>
        <v>260426060</v>
      </c>
      <c r="L7" s="138" t="s">
        <v>286</v>
      </c>
    </row>
    <row r="8" spans="1:12">
      <c r="A8" s="35" t="s">
        <v>67</v>
      </c>
      <c r="B8" s="46">
        <v>2022</v>
      </c>
      <c r="C8" s="38" t="s">
        <v>191</v>
      </c>
      <c r="D8" s="38" t="s">
        <v>279</v>
      </c>
      <c r="E8" s="38" t="s">
        <v>284</v>
      </c>
      <c r="F8" s="139">
        <v>464684914</v>
      </c>
      <c r="G8" s="140">
        <f t="shared" si="0"/>
        <v>0.10955316057452212</v>
      </c>
      <c r="H8" s="139">
        <f>H7+H6</f>
        <v>50907701</v>
      </c>
      <c r="I8" s="140">
        <f t="shared" si="1"/>
        <v>0.89044683942547787</v>
      </c>
      <c r="J8" s="139">
        <f>J7+J6</f>
        <v>413777213</v>
      </c>
      <c r="L8" s="138" t="s">
        <v>287</v>
      </c>
    </row>
    <row r="9" spans="1:12">
      <c r="A9" s="35" t="s">
        <v>67</v>
      </c>
      <c r="B9" s="46">
        <v>2022</v>
      </c>
      <c r="C9" s="38" t="s">
        <v>195</v>
      </c>
      <c r="D9" s="38" t="s">
        <v>288</v>
      </c>
      <c r="E9" s="38" t="s">
        <v>289</v>
      </c>
      <c r="F9" s="139">
        <v>187930334</v>
      </c>
      <c r="G9" s="140">
        <f t="shared" si="0"/>
        <v>0.32410487281952044</v>
      </c>
      <c r="H9" s="139">
        <v>60909137</v>
      </c>
      <c r="I9" s="140">
        <f t="shared" si="1"/>
        <v>0.6758951271804795</v>
      </c>
      <c r="J9" s="139">
        <f>F9-H9</f>
        <v>127021197</v>
      </c>
      <c r="L9" s="138" t="s">
        <v>290</v>
      </c>
    </row>
    <row r="10" spans="1:12">
      <c r="A10" s="35" t="s">
        <v>67</v>
      </c>
      <c r="B10" s="46">
        <v>2022</v>
      </c>
      <c r="C10" s="38" t="s">
        <v>192</v>
      </c>
      <c r="D10" s="38" t="s">
        <v>288</v>
      </c>
      <c r="E10" s="38" t="s">
        <v>289</v>
      </c>
      <c r="F10" s="139">
        <v>276754580</v>
      </c>
      <c r="G10" s="140">
        <f t="shared" si="0"/>
        <v>0.19800000057812955</v>
      </c>
      <c r="H10" s="38">
        <v>54797407</v>
      </c>
      <c r="I10" s="140">
        <f t="shared" si="1"/>
        <v>0.8019999994218705</v>
      </c>
      <c r="J10" s="139">
        <f>F10-H10</f>
        <v>221957173</v>
      </c>
      <c r="L10" s="138" t="s">
        <v>291</v>
      </c>
    </row>
    <row r="11" spans="1:12">
      <c r="A11" s="35" t="s">
        <v>67</v>
      </c>
      <c r="B11" s="46">
        <v>2022</v>
      </c>
      <c r="C11" s="38" t="s">
        <v>191</v>
      </c>
      <c r="D11" s="38" t="s">
        <v>288</v>
      </c>
      <c r="E11" s="38" t="s">
        <v>289</v>
      </c>
      <c r="F11" s="139">
        <v>464684914</v>
      </c>
      <c r="G11" s="140">
        <f t="shared" si="0"/>
        <v>0.24900000089092628</v>
      </c>
      <c r="H11" s="139">
        <f>H10+H9</f>
        <v>115706544</v>
      </c>
      <c r="I11" s="140">
        <f t="shared" si="1"/>
        <v>0.75099999910907378</v>
      </c>
      <c r="J11" s="139">
        <f>J10+J9</f>
        <v>348978370</v>
      </c>
      <c r="L11" s="138" t="s">
        <v>292</v>
      </c>
    </row>
    <row r="12" spans="1:12">
      <c r="A12" s="35" t="s">
        <v>67</v>
      </c>
      <c r="B12" s="46">
        <v>2022</v>
      </c>
      <c r="C12" s="38" t="s">
        <v>195</v>
      </c>
      <c r="D12" s="38" t="s">
        <v>293</v>
      </c>
      <c r="E12" s="38" t="s">
        <v>294</v>
      </c>
      <c r="F12" s="139">
        <v>187930334</v>
      </c>
      <c r="G12" s="140">
        <f t="shared" si="0"/>
        <v>0.47439999760762414</v>
      </c>
      <c r="H12" s="139">
        <v>89154150</v>
      </c>
      <c r="I12" s="140">
        <f t="shared" si="1"/>
        <v>0.52560000239237592</v>
      </c>
      <c r="J12" s="139">
        <f>F12-H12</f>
        <v>98776184</v>
      </c>
      <c r="L12" s="138" t="s">
        <v>286</v>
      </c>
    </row>
    <row r="13" spans="1:12">
      <c r="A13" s="35" t="s">
        <v>67</v>
      </c>
      <c r="B13" s="46">
        <v>2022</v>
      </c>
      <c r="C13" s="38" t="s">
        <v>192</v>
      </c>
      <c r="D13" s="38" t="s">
        <v>293</v>
      </c>
      <c r="E13" s="38" t="s">
        <v>294</v>
      </c>
      <c r="F13" s="139">
        <v>276754580</v>
      </c>
      <c r="G13" s="140">
        <f t="shared" si="0"/>
        <v>0.34400000173438866</v>
      </c>
      <c r="H13" s="139">
        <v>95203576</v>
      </c>
      <c r="I13" s="140">
        <f t="shared" si="1"/>
        <v>0.65599999826561139</v>
      </c>
      <c r="J13" s="139">
        <f>F13-H13</f>
        <v>181551004</v>
      </c>
      <c r="L13" s="138" t="s">
        <v>295</v>
      </c>
    </row>
    <row r="14" spans="1:12">
      <c r="A14" s="35" t="s">
        <v>67</v>
      </c>
      <c r="B14" s="46">
        <v>2022</v>
      </c>
      <c r="C14" s="38" t="s">
        <v>191</v>
      </c>
      <c r="D14" s="38" t="s">
        <v>293</v>
      </c>
      <c r="E14" s="38" t="s">
        <v>294</v>
      </c>
      <c r="F14" s="139">
        <v>464684914</v>
      </c>
      <c r="G14" s="140">
        <f t="shared" si="0"/>
        <v>0.39673705869435649</v>
      </c>
      <c r="H14" s="139">
        <f>H13+H12</f>
        <v>184357726</v>
      </c>
      <c r="I14" s="140">
        <f t="shared" si="1"/>
        <v>0.60326294130564351</v>
      </c>
      <c r="J14" s="139">
        <f>J13+J12</f>
        <v>280327188</v>
      </c>
      <c r="L14" s="138" t="s">
        <v>296</v>
      </c>
    </row>
    <row r="15" spans="1:12">
      <c r="L15" s="138" t="s">
        <v>297</v>
      </c>
    </row>
    <row r="16" spans="1:12">
      <c r="A16" t="s">
        <v>298</v>
      </c>
      <c r="L16" s="138" t="s">
        <v>299</v>
      </c>
    </row>
    <row r="17" spans="12:12">
      <c r="L17" s="138" t="s">
        <v>300</v>
      </c>
    </row>
    <row r="18" spans="12:12">
      <c r="L18" s="138" t="s">
        <v>301</v>
      </c>
    </row>
    <row r="19" spans="12:12">
      <c r="L19" s="138" t="s">
        <v>302</v>
      </c>
    </row>
    <row r="20" spans="12:12">
      <c r="L20" s="138" t="s">
        <v>303</v>
      </c>
    </row>
    <row r="21" spans="12:12">
      <c r="L21" s="138" t="s">
        <v>304</v>
      </c>
    </row>
    <row r="22" spans="12:12">
      <c r="L22" s="138" t="s">
        <v>305</v>
      </c>
    </row>
    <row r="23" spans="12:12">
      <c r="L23" s="138" t="s">
        <v>306</v>
      </c>
    </row>
    <row r="24" spans="12:12">
      <c r="L24" s="138" t="s">
        <v>307</v>
      </c>
    </row>
    <row r="25" spans="12:12">
      <c r="L25" s="138" t="s">
        <v>308</v>
      </c>
    </row>
    <row r="26" spans="12:12">
      <c r="L26" s="138" t="s">
        <v>309</v>
      </c>
    </row>
    <row r="27" spans="12:12">
      <c r="L27" s="138" t="s">
        <v>310</v>
      </c>
    </row>
    <row r="28" spans="12:12">
      <c r="L28" s="138" t="s">
        <v>311</v>
      </c>
    </row>
    <row r="29" spans="12:12">
      <c r="L29" s="138" t="s">
        <v>312</v>
      </c>
    </row>
    <row r="30" spans="12:12">
      <c r="L30" s="138" t="s">
        <v>313</v>
      </c>
    </row>
    <row r="31" spans="12:12">
      <c r="L31" s="138" t="s">
        <v>300</v>
      </c>
    </row>
  </sheetData>
  <mergeCells count="2">
    <mergeCell ref="G1:H1"/>
    <mergeCell ref="I1:J1"/>
  </mergeCells>
  <pageMargins left="0.7" right="0.7" top="0.75" bottom="0.75" header="0.3" footer="0.3"/>
  <ignoredErrors>
    <ignoredError sqref="I5:J14" formula="1"/>
  </ignoredError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B1C99-F1EF-4A85-86DA-7A277790B32B}">
  <sheetPr codeName="Sheet36">
    <tabColor theme="6" tint="0.39997558519241921"/>
  </sheetPr>
  <dimension ref="A1:Z38"/>
  <sheetViews>
    <sheetView showGridLines="0" zoomScale="70" zoomScaleNormal="70" workbookViewId="0">
      <pane xSplit="2" ySplit="3" topLeftCell="H4" activePane="bottomRight" state="frozen"/>
      <selection pane="topRight" activeCell="B1" sqref="B1:F1"/>
      <selection pane="bottomLeft" activeCell="B1" sqref="B1:F1"/>
      <selection pane="bottomRight" activeCell="A10" sqref="A10:XFD10"/>
    </sheetView>
  </sheetViews>
  <sheetFormatPr defaultRowHeight="14.5"/>
  <cols>
    <col min="1" max="1" width="13.453125" bestFit="1" customWidth="1"/>
    <col min="2" max="2" width="11" bestFit="1" customWidth="1"/>
    <col min="4" max="4" width="15.453125" bestFit="1" customWidth="1"/>
    <col min="6" max="6" width="13.453125" customWidth="1"/>
    <col min="8" max="8" width="13.453125" customWidth="1"/>
    <col min="10" max="10" width="14" customWidth="1"/>
    <col min="12" max="12" width="14.81640625" customWidth="1"/>
    <col min="14" max="14" width="14.453125" customWidth="1"/>
    <col min="16" max="16" width="14.54296875" customWidth="1"/>
    <col min="18" max="18" width="14" customWidth="1"/>
    <col min="20" max="20" width="13.81640625" customWidth="1"/>
    <col min="22" max="22" width="14.453125" customWidth="1"/>
    <col min="24" max="24" width="12.54296875" customWidth="1"/>
    <col min="26" max="26" width="13.81640625" customWidth="1"/>
  </cols>
  <sheetData>
    <row r="1" spans="1:26">
      <c r="A1" t="s">
        <v>314</v>
      </c>
      <c r="C1" s="502" t="s">
        <v>315</v>
      </c>
      <c r="D1" s="502"/>
      <c r="E1" s="502"/>
      <c r="F1" s="502"/>
      <c r="G1" s="502"/>
      <c r="H1" s="502"/>
      <c r="I1" s="502" t="s">
        <v>316</v>
      </c>
      <c r="J1" s="502"/>
      <c r="K1" s="502"/>
      <c r="L1" s="502"/>
      <c r="M1" s="502"/>
      <c r="N1" s="502"/>
      <c r="O1" s="502" t="s">
        <v>317</v>
      </c>
      <c r="P1" s="502"/>
      <c r="Q1" s="502"/>
      <c r="R1" s="502"/>
      <c r="S1" s="502"/>
      <c r="T1" s="502"/>
      <c r="U1" s="502" t="s">
        <v>318</v>
      </c>
      <c r="V1" s="502"/>
      <c r="W1" s="502"/>
      <c r="X1" s="502"/>
      <c r="Y1" s="502"/>
      <c r="Z1" s="502"/>
    </row>
    <row r="2" spans="1:26">
      <c r="C2" s="501" t="s">
        <v>244</v>
      </c>
      <c r="D2" s="501"/>
      <c r="E2" s="501" t="s">
        <v>250</v>
      </c>
      <c r="F2" s="501"/>
      <c r="G2" s="501" t="s">
        <v>251</v>
      </c>
      <c r="H2" s="501"/>
      <c r="I2" s="501" t="s">
        <v>244</v>
      </c>
      <c r="J2" s="501"/>
      <c r="K2" s="501" t="s">
        <v>250</v>
      </c>
      <c r="L2" s="501"/>
      <c r="M2" s="501" t="s">
        <v>251</v>
      </c>
      <c r="N2" s="501"/>
      <c r="O2" s="501" t="s">
        <v>244</v>
      </c>
      <c r="P2" s="501"/>
      <c r="Q2" s="501" t="s">
        <v>250</v>
      </c>
      <c r="R2" s="501"/>
      <c r="S2" s="501" t="s">
        <v>251</v>
      </c>
      <c r="T2" s="501"/>
      <c r="U2" s="501" t="s">
        <v>244</v>
      </c>
      <c r="V2" s="501"/>
      <c r="W2" s="501" t="s">
        <v>250</v>
      </c>
      <c r="X2" s="501"/>
      <c r="Y2" s="501" t="s">
        <v>251</v>
      </c>
      <c r="Z2" s="501"/>
    </row>
    <row r="3" spans="1:26">
      <c r="A3" s="35" t="s">
        <v>113</v>
      </c>
      <c r="B3" s="35" t="s">
        <v>104</v>
      </c>
      <c r="C3" s="142" t="s">
        <v>112</v>
      </c>
      <c r="D3" s="142" t="s">
        <v>102</v>
      </c>
      <c r="E3" s="142" t="s">
        <v>112</v>
      </c>
      <c r="F3" s="142" t="s">
        <v>102</v>
      </c>
      <c r="G3" s="142" t="s">
        <v>112</v>
      </c>
      <c r="H3" s="142" t="s">
        <v>102</v>
      </c>
      <c r="I3" s="142" t="s">
        <v>112</v>
      </c>
      <c r="J3" s="142" t="s">
        <v>102</v>
      </c>
      <c r="K3" s="142" t="s">
        <v>112</v>
      </c>
      <c r="L3" s="142" t="s">
        <v>102</v>
      </c>
      <c r="M3" s="142" t="s">
        <v>112</v>
      </c>
      <c r="N3" s="142" t="s">
        <v>102</v>
      </c>
      <c r="O3" s="142" t="s">
        <v>112</v>
      </c>
      <c r="P3" s="142" t="s">
        <v>102</v>
      </c>
      <c r="Q3" s="142" t="s">
        <v>112</v>
      </c>
      <c r="R3" s="142" t="s">
        <v>102</v>
      </c>
      <c r="S3" s="142" t="s">
        <v>112</v>
      </c>
      <c r="T3" s="142" t="s">
        <v>102</v>
      </c>
      <c r="U3" s="142" t="s">
        <v>112</v>
      </c>
      <c r="V3" s="142" t="s">
        <v>102</v>
      </c>
      <c r="W3" s="142" t="s">
        <v>112</v>
      </c>
      <c r="X3" s="142" t="s">
        <v>102</v>
      </c>
      <c r="Y3" s="142" t="s">
        <v>112</v>
      </c>
      <c r="Z3" s="142" t="s">
        <v>102</v>
      </c>
    </row>
    <row r="4" spans="1:26">
      <c r="A4" s="38" t="s">
        <v>67</v>
      </c>
      <c r="B4" s="38">
        <v>2000</v>
      </c>
      <c r="C4" s="108">
        <v>78.743037999999999</v>
      </c>
      <c r="D4" s="108"/>
      <c r="E4" s="108">
        <v>65.730956000000006</v>
      </c>
      <c r="F4" s="38"/>
      <c r="G4" s="108">
        <v>91.731954999999999</v>
      </c>
      <c r="H4" s="38"/>
      <c r="I4" s="108">
        <v>73.560265999999999</v>
      </c>
      <c r="J4" s="38"/>
      <c r="K4" s="108">
        <v>59.084521000000002</v>
      </c>
      <c r="L4" s="38"/>
      <c r="M4" s="108">
        <v>86.356476999999998</v>
      </c>
      <c r="N4" s="38"/>
      <c r="O4" s="108">
        <v>62.966903000000002</v>
      </c>
      <c r="P4" s="38"/>
      <c r="Q4" s="108"/>
      <c r="R4" s="38"/>
      <c r="S4" s="108">
        <v>74.130695000000003</v>
      </c>
      <c r="T4" s="38"/>
      <c r="U4" s="108">
        <v>45.020927999999998</v>
      </c>
      <c r="V4" s="38"/>
      <c r="W4" s="108">
        <v>33.291204999999998</v>
      </c>
      <c r="X4" s="38"/>
      <c r="Y4" s="108">
        <v>55.393425999999998</v>
      </c>
      <c r="Z4" s="38"/>
    </row>
    <row r="5" spans="1:26">
      <c r="A5" s="38" t="s">
        <v>67</v>
      </c>
      <c r="B5" s="38">
        <v>2005</v>
      </c>
      <c r="C5" s="108">
        <v>80.678150000000002</v>
      </c>
      <c r="D5" s="108"/>
      <c r="E5" s="108">
        <v>68.222210000000004</v>
      </c>
      <c r="F5" s="38"/>
      <c r="G5" s="108">
        <v>92.380045999999993</v>
      </c>
      <c r="H5" s="38"/>
      <c r="I5" s="108">
        <v>75.591373000000004</v>
      </c>
      <c r="J5" s="38"/>
      <c r="K5" s="108">
        <v>61.614924999999999</v>
      </c>
      <c r="L5" s="38"/>
      <c r="M5" s="108">
        <v>87.284253000000007</v>
      </c>
      <c r="N5" s="38"/>
      <c r="O5" s="108">
        <v>65.554427000000004</v>
      </c>
      <c r="P5" s="38"/>
      <c r="Q5" s="108"/>
      <c r="R5" s="38"/>
      <c r="S5" s="108">
        <v>75.746851000000007</v>
      </c>
      <c r="T5" s="38"/>
      <c r="U5" s="108">
        <v>46.775382</v>
      </c>
      <c r="V5" s="38"/>
      <c r="W5" s="108">
        <v>35.177083000000003</v>
      </c>
      <c r="X5" s="38"/>
      <c r="Y5" s="108">
        <v>56.478672000000003</v>
      </c>
      <c r="Z5" s="38"/>
    </row>
    <row r="6" spans="1:26">
      <c r="A6" s="38" t="s">
        <v>67</v>
      </c>
      <c r="B6" s="38">
        <v>2010</v>
      </c>
      <c r="C6" s="108">
        <v>83.437999000000005</v>
      </c>
      <c r="D6" s="108"/>
      <c r="E6" s="108">
        <v>71.998039000000006</v>
      </c>
      <c r="F6" s="38"/>
      <c r="G6" s="108">
        <v>93.357399000000001</v>
      </c>
      <c r="H6" s="38"/>
      <c r="I6" s="108">
        <v>78.872562000000002</v>
      </c>
      <c r="J6" s="38"/>
      <c r="K6" s="108">
        <v>65.053427999999997</v>
      </c>
      <c r="L6" s="38"/>
      <c r="M6" s="108">
        <v>89.559582000000006</v>
      </c>
      <c r="N6" s="38"/>
      <c r="O6" s="108">
        <v>69.910718000000003</v>
      </c>
      <c r="P6" s="38"/>
      <c r="Q6" s="108"/>
      <c r="R6" s="38"/>
      <c r="S6" s="108">
        <v>78.902776000000003</v>
      </c>
      <c r="T6" s="38"/>
      <c r="U6" s="108">
        <v>50.399892999999999</v>
      </c>
      <c r="V6" s="38"/>
      <c r="W6" s="108">
        <v>38.447034000000002</v>
      </c>
      <c r="X6" s="38"/>
      <c r="Y6" s="108">
        <v>59.643630999999999</v>
      </c>
      <c r="Z6" s="38"/>
    </row>
    <row r="7" spans="1:26">
      <c r="A7" s="38" t="s">
        <v>67</v>
      </c>
      <c r="B7" s="38">
        <v>2015</v>
      </c>
      <c r="C7" s="108">
        <v>86.574389999999994</v>
      </c>
      <c r="D7" s="108"/>
      <c r="E7" s="108">
        <v>75.794133000000002</v>
      </c>
      <c r="F7" s="38"/>
      <c r="G7" s="108">
        <v>94.427238000000003</v>
      </c>
      <c r="H7" s="38"/>
      <c r="I7" s="108">
        <v>81.697085999999999</v>
      </c>
      <c r="J7" s="38"/>
      <c r="K7" s="108">
        <v>68.528580000000005</v>
      </c>
      <c r="L7" s="38"/>
      <c r="M7" s="108">
        <v>91.289648</v>
      </c>
      <c r="N7" s="38"/>
      <c r="O7" s="108">
        <v>72.881326000000001</v>
      </c>
      <c r="P7" s="38"/>
      <c r="Q7" s="108"/>
      <c r="R7" s="38"/>
      <c r="S7" s="108">
        <v>79.453546000000003</v>
      </c>
      <c r="T7" s="38"/>
      <c r="U7" s="108">
        <v>53.159613999999998</v>
      </c>
      <c r="V7" s="38"/>
      <c r="W7" s="108">
        <v>41.698950000000004</v>
      </c>
      <c r="X7" s="38"/>
      <c r="Y7" s="108">
        <v>61.508104000000003</v>
      </c>
      <c r="Z7" s="38"/>
    </row>
    <row r="8" spans="1:26">
      <c r="A8" s="38" t="s">
        <v>67</v>
      </c>
      <c r="B8" s="38">
        <v>2020</v>
      </c>
      <c r="C8" s="108">
        <v>88.661265999999998</v>
      </c>
      <c r="D8" s="108"/>
      <c r="E8" s="108">
        <v>79.271473999999998</v>
      </c>
      <c r="F8" s="38"/>
      <c r="G8" s="108">
        <v>95.161088000000007</v>
      </c>
      <c r="H8" s="38"/>
      <c r="I8" s="108">
        <v>83.457341</v>
      </c>
      <c r="J8" s="38"/>
      <c r="K8" s="108">
        <v>70.993491000000006</v>
      </c>
      <c r="L8" s="38"/>
      <c r="M8" s="108">
        <v>92.084812999999997</v>
      </c>
      <c r="N8" s="38"/>
      <c r="O8" s="108">
        <v>74.926893000000007</v>
      </c>
      <c r="P8" s="38"/>
      <c r="Q8" s="108"/>
      <c r="R8" s="38"/>
      <c r="S8" s="108">
        <v>80.136431999999999</v>
      </c>
      <c r="T8" s="38"/>
      <c r="U8" s="108">
        <v>56.179631999999998</v>
      </c>
      <c r="V8" s="38"/>
      <c r="W8" s="108">
        <v>45.398313000000002</v>
      </c>
      <c r="X8" s="38"/>
      <c r="Y8" s="108">
        <v>63.642020000000002</v>
      </c>
      <c r="Z8" s="38"/>
    </row>
    <row r="9" spans="1:26" ht="14.15" customHeight="1">
      <c r="A9" s="38" t="s">
        <v>67</v>
      </c>
      <c r="B9" s="38">
        <v>2021</v>
      </c>
      <c r="C9" s="108">
        <v>88.954057000000006</v>
      </c>
      <c r="D9" s="108"/>
      <c r="E9" s="108">
        <v>79.819569999999999</v>
      </c>
      <c r="F9" s="38"/>
      <c r="G9" s="108">
        <v>95.222904</v>
      </c>
      <c r="H9" s="38"/>
      <c r="I9" s="108">
        <v>89.070820999999995</v>
      </c>
      <c r="J9" s="38"/>
      <c r="K9" s="108">
        <v>81.512950000000004</v>
      </c>
      <c r="L9" s="38"/>
      <c r="M9" s="108">
        <v>94.087761999999998</v>
      </c>
      <c r="N9" s="38"/>
      <c r="O9" s="108">
        <v>74.988640000000004</v>
      </c>
      <c r="P9" s="38"/>
      <c r="Q9" s="108"/>
      <c r="R9" s="38"/>
      <c r="S9" s="108">
        <v>80.176010000000005</v>
      </c>
      <c r="T9" s="38"/>
      <c r="U9" s="108">
        <v>60.015498999999998</v>
      </c>
      <c r="V9" s="38"/>
      <c r="W9" s="108">
        <v>52.157383000000003</v>
      </c>
      <c r="X9" s="38"/>
      <c r="Y9" s="108">
        <v>65.408162000000004</v>
      </c>
      <c r="Z9" s="38"/>
    </row>
    <row r="10" spans="1:26">
      <c r="A10" s="38" t="s">
        <v>67</v>
      </c>
      <c r="B10" s="38">
        <v>2022</v>
      </c>
      <c r="C10" s="108">
        <v>89.074503000000007</v>
      </c>
      <c r="D10" s="55">
        <f>F10+H10</f>
        <v>413814627</v>
      </c>
      <c r="E10" s="108">
        <v>80.031338000000005</v>
      </c>
      <c r="F10" s="55">
        <v>150344267</v>
      </c>
      <c r="G10" s="108">
        <v>95.213235999999995</v>
      </c>
      <c r="H10" s="55">
        <v>263470360</v>
      </c>
      <c r="I10" s="108">
        <v>89.117588999999995</v>
      </c>
      <c r="J10" s="55">
        <f>L10+N10</f>
        <v>413777213</v>
      </c>
      <c r="K10" s="108">
        <v>81.567633999999998</v>
      </c>
      <c r="L10" s="55">
        <v>153351153</v>
      </c>
      <c r="M10" s="108">
        <v>94.075683999999995</v>
      </c>
      <c r="N10" s="55">
        <v>260426060</v>
      </c>
      <c r="O10" s="108">
        <v>75.095009000000005</v>
      </c>
      <c r="P10" s="55">
        <f>R10+T10</f>
        <v>348978370</v>
      </c>
      <c r="Q10" s="108">
        <v>67.599999999999994</v>
      </c>
      <c r="R10" s="55">
        <v>127021197</v>
      </c>
      <c r="S10" s="108">
        <v>80.180845000000005</v>
      </c>
      <c r="T10" s="55">
        <v>221957173</v>
      </c>
      <c r="U10" s="108">
        <v>60.205066000000002</v>
      </c>
      <c r="V10" s="55">
        <f>X10+Z10</f>
        <v>280327188</v>
      </c>
      <c r="W10" s="108">
        <v>52.292599000000003</v>
      </c>
      <c r="X10" s="55">
        <v>98776184</v>
      </c>
      <c r="Y10" s="108">
        <v>65.576274999999995</v>
      </c>
      <c r="Z10" s="55">
        <v>181551004</v>
      </c>
    </row>
    <row r="11" spans="1:26">
      <c r="A11" s="38" t="s">
        <v>144</v>
      </c>
      <c r="B11" s="38">
        <v>2000</v>
      </c>
      <c r="C11" s="108"/>
      <c r="D11" s="108"/>
      <c r="E11" s="108">
        <v>96.470416</v>
      </c>
      <c r="F11" s="38"/>
      <c r="G11" s="108"/>
      <c r="H11" s="38"/>
      <c r="I11" s="108">
        <v>95.654043000000001</v>
      </c>
      <c r="J11" s="38"/>
      <c r="K11" s="108">
        <v>91.517537000000004</v>
      </c>
      <c r="L11" s="38"/>
      <c r="M11" s="108">
        <v>96.594994</v>
      </c>
      <c r="N11" s="38"/>
      <c r="O11" s="108"/>
      <c r="P11" s="38"/>
      <c r="Q11" s="108"/>
      <c r="R11" s="38"/>
      <c r="S11" s="108"/>
      <c r="T11" s="38"/>
      <c r="U11" s="108">
        <v>81.050196999999997</v>
      </c>
      <c r="V11" s="38"/>
      <c r="W11" s="108"/>
      <c r="X11" s="38"/>
      <c r="Y11" s="108">
        <v>83.583320999999998</v>
      </c>
      <c r="Z11" s="38"/>
    </row>
    <row r="12" spans="1:26">
      <c r="A12" s="38" t="s">
        <v>144</v>
      </c>
      <c r="B12" s="38">
        <v>2005</v>
      </c>
      <c r="C12" s="108"/>
      <c r="D12" s="108"/>
      <c r="E12" s="108">
        <v>96.716812000000004</v>
      </c>
      <c r="F12" s="38"/>
      <c r="G12" s="108"/>
      <c r="H12" s="38"/>
      <c r="I12" s="108">
        <v>96.019874999999999</v>
      </c>
      <c r="J12" s="38"/>
      <c r="K12" s="108">
        <v>92.433345000000003</v>
      </c>
      <c r="L12" s="38"/>
      <c r="M12" s="108">
        <v>96.790302999999994</v>
      </c>
      <c r="N12" s="38"/>
      <c r="O12" s="108"/>
      <c r="P12" s="38"/>
      <c r="Q12" s="108"/>
      <c r="R12" s="38"/>
      <c r="S12" s="108"/>
      <c r="T12" s="38"/>
      <c r="U12" s="108">
        <v>81.853595999999996</v>
      </c>
      <c r="V12" s="38"/>
      <c r="W12" s="108"/>
      <c r="X12" s="38"/>
      <c r="Y12" s="108">
        <v>84.148848000000001</v>
      </c>
      <c r="Z12" s="38"/>
    </row>
    <row r="13" spans="1:26">
      <c r="A13" s="38" t="s">
        <v>144</v>
      </c>
      <c r="B13" s="38">
        <v>2010</v>
      </c>
      <c r="C13" s="108"/>
      <c r="D13" s="108"/>
      <c r="E13" s="108">
        <v>97.370787000000007</v>
      </c>
      <c r="F13" s="38"/>
      <c r="G13" s="108"/>
      <c r="H13" s="38"/>
      <c r="I13" s="108">
        <v>96.609559000000004</v>
      </c>
      <c r="J13" s="38"/>
      <c r="K13" s="108">
        <v>93.743217999999999</v>
      </c>
      <c r="L13" s="38"/>
      <c r="M13" s="108">
        <v>97.158597999999998</v>
      </c>
      <c r="N13" s="38"/>
      <c r="O13" s="108"/>
      <c r="P13" s="38"/>
      <c r="Q13" s="108"/>
      <c r="R13" s="38"/>
      <c r="S13" s="108"/>
      <c r="T13" s="38"/>
      <c r="U13" s="108">
        <v>83.648295000000005</v>
      </c>
      <c r="V13" s="38"/>
      <c r="W13" s="108"/>
      <c r="X13" s="38"/>
      <c r="Y13" s="108">
        <v>85.586938000000004</v>
      </c>
      <c r="Z13" s="38"/>
    </row>
    <row r="14" spans="1:26">
      <c r="A14" s="38" t="s">
        <v>144</v>
      </c>
      <c r="B14" s="38">
        <v>2015</v>
      </c>
      <c r="C14" s="108">
        <v>98.408772999999997</v>
      </c>
      <c r="D14" s="108"/>
      <c r="E14" s="108">
        <v>97.410121000000004</v>
      </c>
      <c r="F14" s="38"/>
      <c r="G14" s="108">
        <v>98.577606000000003</v>
      </c>
      <c r="H14" s="38"/>
      <c r="I14" s="108">
        <v>96.915182000000001</v>
      </c>
      <c r="J14" s="38"/>
      <c r="K14" s="108">
        <v>94.383508000000006</v>
      </c>
      <c r="L14" s="38"/>
      <c r="M14" s="108">
        <v>97.343186000000003</v>
      </c>
      <c r="N14" s="38"/>
      <c r="O14" s="108"/>
      <c r="P14" s="38"/>
      <c r="Q14" s="108"/>
      <c r="R14" s="38"/>
      <c r="S14" s="108"/>
      <c r="T14" s="38"/>
      <c r="U14" s="108">
        <v>83.752554000000003</v>
      </c>
      <c r="V14" s="38"/>
      <c r="W14" s="108"/>
      <c r="X14" s="38"/>
      <c r="Y14" s="108">
        <v>85.382751999999996</v>
      </c>
      <c r="Z14" s="38"/>
    </row>
    <row r="15" spans="1:26">
      <c r="A15" s="38" t="s">
        <v>144</v>
      </c>
      <c r="B15" s="38">
        <v>2020</v>
      </c>
      <c r="C15" s="108">
        <v>98.560271</v>
      </c>
      <c r="D15" s="108"/>
      <c r="E15" s="108">
        <v>98.064791</v>
      </c>
      <c r="F15" s="38"/>
      <c r="G15" s="108">
        <v>98.635019999999997</v>
      </c>
      <c r="H15" s="38"/>
      <c r="I15" s="108">
        <v>96.924282000000005</v>
      </c>
      <c r="J15" s="38"/>
      <c r="K15" s="108">
        <v>94.187005999999997</v>
      </c>
      <c r="L15" s="38"/>
      <c r="M15" s="108">
        <v>97.337231000000003</v>
      </c>
      <c r="N15" s="38"/>
      <c r="O15" s="108"/>
      <c r="P15" s="38"/>
      <c r="Q15" s="108"/>
      <c r="R15" s="38"/>
      <c r="S15" s="108"/>
      <c r="T15" s="38"/>
      <c r="U15" s="108">
        <v>83.998728</v>
      </c>
      <c r="V15" s="38"/>
      <c r="W15" s="108"/>
      <c r="X15" s="38"/>
      <c r="Y15" s="108">
        <v>85.614772000000002</v>
      </c>
      <c r="Z15" s="38"/>
    </row>
    <row r="16" spans="1:26">
      <c r="A16" s="38" t="s">
        <v>144</v>
      </c>
      <c r="B16" s="38">
        <v>2021</v>
      </c>
      <c r="C16" s="108">
        <v>98.568928</v>
      </c>
      <c r="D16" s="108"/>
      <c r="E16" s="108">
        <v>98.147677999999999</v>
      </c>
      <c r="F16" s="38"/>
      <c r="G16" s="108">
        <v>98.631349</v>
      </c>
      <c r="H16" s="38"/>
      <c r="I16" s="108">
        <v>96.921874000000003</v>
      </c>
      <c r="J16" s="38"/>
      <c r="K16" s="108">
        <v>94.169921000000002</v>
      </c>
      <c r="L16" s="38"/>
      <c r="M16" s="108">
        <v>97.329652999999993</v>
      </c>
      <c r="N16" s="38"/>
      <c r="O16" s="108"/>
      <c r="P16" s="38"/>
      <c r="Q16" s="108"/>
      <c r="R16" s="38"/>
      <c r="S16" s="108"/>
      <c r="T16" s="38"/>
      <c r="U16" s="108">
        <v>84.059200000000004</v>
      </c>
      <c r="V16" s="38"/>
      <c r="W16" s="108"/>
      <c r="X16" s="38"/>
      <c r="Y16" s="108">
        <v>85.635619000000005</v>
      </c>
      <c r="Z16" s="38"/>
    </row>
    <row r="17" spans="1:26">
      <c r="A17" s="38" t="s">
        <v>144</v>
      </c>
      <c r="B17" s="38">
        <v>2022</v>
      </c>
      <c r="C17" s="108">
        <v>98.574552999999995</v>
      </c>
      <c r="D17" s="108"/>
      <c r="E17" s="108">
        <v>98.215118000000004</v>
      </c>
      <c r="F17" s="38"/>
      <c r="G17" s="108">
        <v>98.626767000000001</v>
      </c>
      <c r="H17" s="38"/>
      <c r="I17" s="108">
        <v>96.921119000000004</v>
      </c>
      <c r="J17" s="38"/>
      <c r="K17" s="108">
        <v>94.143383999999998</v>
      </c>
      <c r="L17" s="38"/>
      <c r="M17" s="108">
        <v>97.324624</v>
      </c>
      <c r="N17" s="38"/>
      <c r="O17" s="108"/>
      <c r="P17" s="38"/>
      <c r="Q17" s="108"/>
      <c r="R17" s="38"/>
      <c r="S17" s="108"/>
      <c r="T17" s="38"/>
      <c r="U17" s="108">
        <v>84.102429000000001</v>
      </c>
      <c r="V17" s="38"/>
      <c r="W17" s="108"/>
      <c r="X17" s="38"/>
      <c r="Y17" s="108">
        <v>85.647362999999999</v>
      </c>
      <c r="Z17" s="38"/>
    </row>
    <row r="18" spans="1:26">
      <c r="A18" s="38" t="s">
        <v>119</v>
      </c>
      <c r="B18" s="38">
        <v>2000</v>
      </c>
      <c r="C18" s="108">
        <v>79.735892000000007</v>
      </c>
      <c r="D18" s="108"/>
      <c r="E18" s="108">
        <v>59.946998999999998</v>
      </c>
      <c r="F18" s="38"/>
      <c r="G18" s="108">
        <v>93.487534999999994</v>
      </c>
      <c r="H18" s="38"/>
      <c r="I18" s="108">
        <v>77.370170000000002</v>
      </c>
      <c r="J18" s="38"/>
      <c r="K18" s="108">
        <v>60.339101999999997</v>
      </c>
      <c r="L18" s="38"/>
      <c r="M18" s="108">
        <v>89.205353000000002</v>
      </c>
      <c r="N18" s="38"/>
      <c r="O18" s="108">
        <v>61.88456</v>
      </c>
      <c r="P18" s="38"/>
      <c r="Q18" s="108">
        <v>37.562030999999998</v>
      </c>
      <c r="R18" s="38"/>
      <c r="S18" s="108">
        <v>78.786705999999995</v>
      </c>
      <c r="T18" s="38"/>
      <c r="U18" s="108">
        <v>44.267919999999997</v>
      </c>
      <c r="V18" s="38"/>
      <c r="W18" s="108">
        <v>33.968249</v>
      </c>
      <c r="X18" s="38"/>
      <c r="Y18" s="108">
        <v>51.425339999999998</v>
      </c>
      <c r="Z18" s="38"/>
    </row>
    <row r="19" spans="1:26">
      <c r="A19" s="38" t="s">
        <v>119</v>
      </c>
      <c r="B19" s="38">
        <v>2005</v>
      </c>
      <c r="C19" s="108">
        <v>82.636167</v>
      </c>
      <c r="D19" s="108"/>
      <c r="E19" s="108">
        <v>63.746164</v>
      </c>
      <c r="F19" s="38"/>
      <c r="G19" s="108">
        <v>94.373704000000004</v>
      </c>
      <c r="H19" s="38"/>
      <c r="I19" s="108">
        <v>80.796220000000005</v>
      </c>
      <c r="J19" s="38"/>
      <c r="K19" s="108">
        <v>65.495897999999997</v>
      </c>
      <c r="L19" s="38"/>
      <c r="M19" s="108">
        <v>90.303263000000001</v>
      </c>
      <c r="N19" s="38"/>
      <c r="O19" s="108">
        <v>64.387495999999999</v>
      </c>
      <c r="P19" s="38"/>
      <c r="Q19" s="108">
        <v>40.428347000000002</v>
      </c>
      <c r="R19" s="38"/>
      <c r="S19" s="108">
        <v>79.274811999999997</v>
      </c>
      <c r="T19" s="38"/>
      <c r="U19" s="108">
        <v>46.075164000000001</v>
      </c>
      <c r="V19" s="38"/>
      <c r="W19" s="108">
        <v>36.249375000000001</v>
      </c>
      <c r="X19" s="38"/>
      <c r="Y19" s="108">
        <v>52.180540999999998</v>
      </c>
      <c r="Z19" s="38"/>
    </row>
    <row r="20" spans="1:26">
      <c r="A20" s="38" t="s">
        <v>119</v>
      </c>
      <c r="B20" s="38">
        <v>2010</v>
      </c>
      <c r="C20" s="108">
        <v>85.720589000000004</v>
      </c>
      <c r="D20" s="108"/>
      <c r="E20" s="108">
        <v>68.266475</v>
      </c>
      <c r="F20" s="38"/>
      <c r="G20" s="108">
        <v>95.278030000000001</v>
      </c>
      <c r="H20" s="38"/>
      <c r="I20" s="108">
        <v>83.864335999999994</v>
      </c>
      <c r="J20" s="38"/>
      <c r="K20" s="108">
        <v>69.786153999999996</v>
      </c>
      <c r="L20" s="38"/>
      <c r="M20" s="108">
        <v>91.5732</v>
      </c>
      <c r="N20" s="38"/>
      <c r="O20" s="108">
        <v>69.567882999999995</v>
      </c>
      <c r="P20" s="38"/>
      <c r="Q20" s="108">
        <v>46.383831999999998</v>
      </c>
      <c r="R20" s="38"/>
      <c r="S20" s="108">
        <v>82.262895999999998</v>
      </c>
      <c r="T20" s="38"/>
      <c r="U20" s="108">
        <v>48.076304999999998</v>
      </c>
      <c r="V20" s="38"/>
      <c r="W20" s="108">
        <v>38.955393999999998</v>
      </c>
      <c r="X20" s="38"/>
      <c r="Y20" s="108">
        <v>53.070689999999999</v>
      </c>
      <c r="Z20" s="38"/>
    </row>
    <row r="21" spans="1:26">
      <c r="A21" s="38" t="s">
        <v>119</v>
      </c>
      <c r="B21" s="38">
        <v>2015</v>
      </c>
      <c r="C21" s="108">
        <v>88.727461000000005</v>
      </c>
      <c r="D21" s="108"/>
      <c r="E21" s="108">
        <v>73.346553999999998</v>
      </c>
      <c r="F21" s="38"/>
      <c r="G21" s="108">
        <v>96.208011999999997</v>
      </c>
      <c r="H21" s="38"/>
      <c r="I21" s="108">
        <v>86.217536999999993</v>
      </c>
      <c r="J21" s="38"/>
      <c r="K21" s="108">
        <v>74.031423000000004</v>
      </c>
      <c r="L21" s="38"/>
      <c r="M21" s="108">
        <v>92.144289999999998</v>
      </c>
      <c r="N21" s="38"/>
      <c r="O21" s="108">
        <v>76.117796999999996</v>
      </c>
      <c r="P21" s="38"/>
      <c r="Q21" s="108">
        <v>54.637647000000001</v>
      </c>
      <c r="R21" s="38"/>
      <c r="S21" s="108">
        <v>86.564734000000001</v>
      </c>
      <c r="T21" s="38"/>
      <c r="U21" s="108">
        <v>50.011288</v>
      </c>
      <c r="V21" s="38"/>
      <c r="W21" s="108">
        <v>42.046343999999998</v>
      </c>
      <c r="X21" s="38"/>
      <c r="Y21" s="108">
        <v>53.885063000000002</v>
      </c>
      <c r="Z21" s="38"/>
    </row>
    <row r="22" spans="1:26">
      <c r="A22" s="38" t="s">
        <v>119</v>
      </c>
      <c r="B22" s="38">
        <v>2020</v>
      </c>
      <c r="C22" s="108">
        <v>91.922931000000005</v>
      </c>
      <c r="D22" s="108"/>
      <c r="E22" s="108">
        <v>78.949956999999998</v>
      </c>
      <c r="F22" s="38"/>
      <c r="G22" s="108">
        <v>97.507463000000001</v>
      </c>
      <c r="H22" s="38"/>
      <c r="I22" s="108">
        <v>88.264319</v>
      </c>
      <c r="J22" s="38"/>
      <c r="K22" s="108">
        <v>78.565949000000003</v>
      </c>
      <c r="L22" s="38"/>
      <c r="M22" s="108">
        <v>92.439218999999994</v>
      </c>
      <c r="N22" s="38"/>
      <c r="O22" s="108">
        <v>74.878549000000007</v>
      </c>
      <c r="P22" s="38"/>
      <c r="Q22" s="108">
        <v>58.127884000000002</v>
      </c>
      <c r="R22" s="38"/>
      <c r="S22" s="108">
        <v>82.089280000000002</v>
      </c>
      <c r="T22" s="38"/>
      <c r="U22" s="108">
        <v>51.676237999999998</v>
      </c>
      <c r="V22" s="38"/>
      <c r="W22" s="108">
        <v>45.533124000000001</v>
      </c>
      <c r="X22" s="38"/>
      <c r="Y22" s="108">
        <v>54.320690999999997</v>
      </c>
      <c r="Z22" s="38"/>
    </row>
    <row r="23" spans="1:26">
      <c r="A23" s="38" t="s">
        <v>119</v>
      </c>
      <c r="B23" s="38">
        <v>2021</v>
      </c>
      <c r="C23" s="108">
        <v>92.387090000000001</v>
      </c>
      <c r="D23" s="108"/>
      <c r="E23" s="108">
        <v>79.953093999999993</v>
      </c>
      <c r="F23" s="38"/>
      <c r="G23" s="108">
        <v>97.613102999999995</v>
      </c>
      <c r="H23" s="38"/>
      <c r="I23" s="108">
        <v>88.225735</v>
      </c>
      <c r="J23" s="38"/>
      <c r="K23" s="108">
        <v>78.654876999999999</v>
      </c>
      <c r="L23" s="38"/>
      <c r="M23" s="108">
        <v>92.248368999999997</v>
      </c>
      <c r="N23" s="38"/>
      <c r="O23" s="108">
        <v>74.402777</v>
      </c>
      <c r="P23" s="38"/>
      <c r="Q23" s="108">
        <v>57.589571999999997</v>
      </c>
      <c r="R23" s="38"/>
      <c r="S23" s="108">
        <v>81.469374999999999</v>
      </c>
      <c r="T23" s="38"/>
      <c r="U23" s="108">
        <v>51.691809999999997</v>
      </c>
      <c r="V23" s="38"/>
      <c r="W23" s="108">
        <v>45.656213000000001</v>
      </c>
      <c r="X23" s="38"/>
      <c r="Y23" s="108">
        <v>54.228574000000002</v>
      </c>
      <c r="Z23" s="38"/>
    </row>
    <row r="24" spans="1:26">
      <c r="A24" s="38" t="s">
        <v>119</v>
      </c>
      <c r="B24" s="38">
        <v>2022</v>
      </c>
      <c r="C24" s="108">
        <v>92.499658999999994</v>
      </c>
      <c r="D24" s="108"/>
      <c r="E24" s="108">
        <v>80.039750999999995</v>
      </c>
      <c r="F24" s="38"/>
      <c r="G24" s="108">
        <v>97.613387000000003</v>
      </c>
      <c r="H24" s="38"/>
      <c r="I24" s="108">
        <v>88.284246999999993</v>
      </c>
      <c r="J24" s="38"/>
      <c r="K24" s="108">
        <v>78.658117000000004</v>
      </c>
      <c r="L24" s="38"/>
      <c r="M24" s="108">
        <v>92.234950999999995</v>
      </c>
      <c r="N24" s="38"/>
      <c r="O24" s="108">
        <v>74.527979000000002</v>
      </c>
      <c r="P24" s="38"/>
      <c r="Q24" s="108">
        <v>57.650793999999998</v>
      </c>
      <c r="R24" s="38"/>
      <c r="S24" s="108">
        <v>81.454621000000003</v>
      </c>
      <c r="T24" s="38"/>
      <c r="U24" s="108">
        <v>51.737254999999998</v>
      </c>
      <c r="V24" s="38"/>
      <c r="W24" s="108">
        <v>45.657417000000002</v>
      </c>
      <c r="X24" s="38"/>
      <c r="Y24" s="108">
        <v>54.232509999999998</v>
      </c>
      <c r="Z24" s="38"/>
    </row>
    <row r="25" spans="1:26">
      <c r="A25" s="38" t="s">
        <v>120</v>
      </c>
      <c r="B25" s="38">
        <v>2000</v>
      </c>
      <c r="C25" s="108">
        <v>93.285165000000006</v>
      </c>
      <c r="D25" s="108"/>
      <c r="E25" s="108">
        <v>90.044933999999998</v>
      </c>
      <c r="F25" s="38"/>
      <c r="G25" s="108">
        <v>96.189983999999995</v>
      </c>
      <c r="H25" s="38"/>
      <c r="I25" s="108">
        <v>86.563250999999994</v>
      </c>
      <c r="J25" s="38"/>
      <c r="K25" s="108">
        <v>83.588763999999998</v>
      </c>
      <c r="L25" s="38"/>
      <c r="M25" s="108">
        <v>89.229833999999997</v>
      </c>
      <c r="N25" s="38"/>
      <c r="O25" s="108"/>
      <c r="P25" s="38"/>
      <c r="Q25" s="108"/>
      <c r="R25" s="38"/>
      <c r="S25" s="108">
        <v>67.461297000000002</v>
      </c>
      <c r="T25" s="38"/>
      <c r="U25" s="108">
        <v>48.144880999999998</v>
      </c>
      <c r="V25" s="38"/>
      <c r="W25" s="108">
        <v>43.771583</v>
      </c>
      <c r="X25" s="38"/>
      <c r="Y25" s="108">
        <v>52.065479000000003</v>
      </c>
      <c r="Z25" s="38"/>
    </row>
    <row r="26" spans="1:26">
      <c r="A26" s="38" t="s">
        <v>120</v>
      </c>
      <c r="B26" s="38">
        <v>2005</v>
      </c>
      <c r="C26" s="108">
        <v>94.379829000000001</v>
      </c>
      <c r="D26" s="108"/>
      <c r="E26" s="108">
        <v>91.621640999999997</v>
      </c>
      <c r="F26" s="38"/>
      <c r="G26" s="108">
        <v>96.786883000000003</v>
      </c>
      <c r="H26" s="38"/>
      <c r="I26" s="108">
        <v>88.390623000000005</v>
      </c>
      <c r="J26" s="38"/>
      <c r="K26" s="108">
        <v>85.963922999999994</v>
      </c>
      <c r="L26" s="38"/>
      <c r="M26" s="108">
        <v>90.508391000000003</v>
      </c>
      <c r="N26" s="38"/>
      <c r="O26" s="108">
        <v>67.405962000000002</v>
      </c>
      <c r="P26" s="38"/>
      <c r="Q26" s="108"/>
      <c r="R26" s="38"/>
      <c r="S26" s="108">
        <v>70.953650999999994</v>
      </c>
      <c r="T26" s="38"/>
      <c r="U26" s="108">
        <v>50.206972</v>
      </c>
      <c r="V26" s="38"/>
      <c r="W26" s="108">
        <v>46.281502000000003</v>
      </c>
      <c r="X26" s="38"/>
      <c r="Y26" s="108">
        <v>53.632710000000003</v>
      </c>
      <c r="Z26" s="38"/>
    </row>
    <row r="27" spans="1:26">
      <c r="A27" s="38" t="s">
        <v>120</v>
      </c>
      <c r="B27" s="38">
        <v>2010</v>
      </c>
      <c r="C27" s="108">
        <v>95.595365999999999</v>
      </c>
      <c r="D27" s="108"/>
      <c r="E27" s="108">
        <v>93.460365999999993</v>
      </c>
      <c r="F27" s="38"/>
      <c r="G27" s="108">
        <v>97.405124999999998</v>
      </c>
      <c r="H27" s="38"/>
      <c r="I27" s="108">
        <v>91.551852999999994</v>
      </c>
      <c r="J27" s="38"/>
      <c r="K27" s="108">
        <v>89.153369999999995</v>
      </c>
      <c r="L27" s="38"/>
      <c r="M27" s="108">
        <v>93.584957000000003</v>
      </c>
      <c r="N27" s="38"/>
      <c r="O27" s="108">
        <v>73.356016999999994</v>
      </c>
      <c r="P27" s="38"/>
      <c r="Q27" s="108"/>
      <c r="R27" s="38"/>
      <c r="S27" s="108">
        <v>76.643947999999995</v>
      </c>
      <c r="T27" s="38"/>
      <c r="U27" s="108">
        <v>54.399281000000002</v>
      </c>
      <c r="V27" s="38"/>
      <c r="W27" s="108">
        <v>50.539648</v>
      </c>
      <c r="X27" s="38"/>
      <c r="Y27" s="108">
        <v>57.670946999999998</v>
      </c>
      <c r="Z27" s="38"/>
    </row>
    <row r="28" spans="1:26">
      <c r="A28" s="38" t="s">
        <v>120</v>
      </c>
      <c r="B28" s="38">
        <v>2015</v>
      </c>
      <c r="C28" s="108">
        <v>96.815616000000006</v>
      </c>
      <c r="D28" s="108"/>
      <c r="E28" s="108">
        <v>95.308154000000002</v>
      </c>
      <c r="F28" s="38"/>
      <c r="G28" s="108">
        <v>98.062374000000005</v>
      </c>
      <c r="H28" s="38"/>
      <c r="I28" s="108">
        <v>94.701031</v>
      </c>
      <c r="J28" s="38"/>
      <c r="K28" s="108">
        <v>92.448471999999995</v>
      </c>
      <c r="L28" s="38"/>
      <c r="M28" s="108">
        <v>96.564029000000005</v>
      </c>
      <c r="N28" s="38"/>
      <c r="O28" s="108">
        <v>77.215097999999998</v>
      </c>
      <c r="P28" s="38"/>
      <c r="Q28" s="108"/>
      <c r="R28" s="38"/>
      <c r="S28" s="108">
        <v>76.575001999999998</v>
      </c>
      <c r="T28" s="38"/>
      <c r="U28" s="108">
        <v>58.387222000000001</v>
      </c>
      <c r="V28" s="38"/>
      <c r="W28" s="108">
        <v>54.998624999999997</v>
      </c>
      <c r="X28" s="38"/>
      <c r="Y28" s="108">
        <v>61.189794999999997</v>
      </c>
      <c r="Z28" s="38"/>
    </row>
    <row r="29" spans="1:26">
      <c r="A29" s="38" t="s">
        <v>120</v>
      </c>
      <c r="B29" s="38">
        <v>2020</v>
      </c>
      <c r="C29" s="108">
        <v>97.969153000000006</v>
      </c>
      <c r="D29" s="108"/>
      <c r="E29" s="108">
        <v>97.129908</v>
      </c>
      <c r="F29" s="38"/>
      <c r="G29" s="108">
        <v>98.645432</v>
      </c>
      <c r="H29" s="38"/>
      <c r="I29" s="108">
        <v>97.445079000000007</v>
      </c>
      <c r="J29" s="38"/>
      <c r="K29" s="108">
        <v>95.814425999999997</v>
      </c>
      <c r="L29" s="38"/>
      <c r="M29" s="108">
        <v>98.759089000000003</v>
      </c>
      <c r="N29" s="38"/>
      <c r="O29" s="108">
        <v>78.134782999999999</v>
      </c>
      <c r="P29" s="38"/>
      <c r="Q29" s="108"/>
      <c r="R29" s="38"/>
      <c r="S29" s="108">
        <v>77.124837999999997</v>
      </c>
      <c r="T29" s="38"/>
      <c r="U29" s="108">
        <v>64.062828999999994</v>
      </c>
      <c r="V29" s="38"/>
      <c r="W29" s="108">
        <v>60.94903</v>
      </c>
      <c r="X29" s="38"/>
      <c r="Y29" s="108">
        <v>66.571982000000006</v>
      </c>
      <c r="Z29" s="38"/>
    </row>
    <row r="30" spans="1:26">
      <c r="A30" s="38" t="s">
        <v>120</v>
      </c>
      <c r="B30" s="38">
        <v>2021</v>
      </c>
      <c r="C30" s="108">
        <v>97.986451000000002</v>
      </c>
      <c r="D30" s="108"/>
      <c r="E30" s="108">
        <v>97.148650000000004</v>
      </c>
      <c r="F30" s="38"/>
      <c r="G30" s="108">
        <v>98.656341999999995</v>
      </c>
      <c r="H30" s="38"/>
      <c r="I30" s="108">
        <v>97.493919000000005</v>
      </c>
      <c r="J30" s="38"/>
      <c r="K30" s="108">
        <v>95.873997000000003</v>
      </c>
      <c r="L30" s="38"/>
      <c r="M30" s="108">
        <v>98.789182999999994</v>
      </c>
      <c r="N30" s="38"/>
      <c r="O30" s="108">
        <v>78.174340000000001</v>
      </c>
      <c r="P30" s="38"/>
      <c r="Q30" s="108"/>
      <c r="R30" s="38"/>
      <c r="S30" s="108">
        <v>77.126011000000005</v>
      </c>
      <c r="T30" s="38"/>
      <c r="U30" s="108">
        <v>64.425979999999996</v>
      </c>
      <c r="V30" s="38"/>
      <c r="W30" s="108">
        <v>61.154971000000003</v>
      </c>
      <c r="X30" s="38"/>
      <c r="Y30" s="108">
        <v>67.041428999999994</v>
      </c>
      <c r="Z30" s="38"/>
    </row>
    <row r="31" spans="1:26">
      <c r="A31" s="38" t="s">
        <v>120</v>
      </c>
      <c r="B31" s="38">
        <v>2022</v>
      </c>
      <c r="C31" s="108">
        <v>97.996116000000001</v>
      </c>
      <c r="D31" s="108"/>
      <c r="E31" s="108">
        <v>97.153913000000003</v>
      </c>
      <c r="F31" s="38"/>
      <c r="G31" s="108">
        <v>98.664278999999993</v>
      </c>
      <c r="H31" s="38"/>
      <c r="I31" s="108">
        <v>97.537081000000001</v>
      </c>
      <c r="J31" s="38"/>
      <c r="K31" s="108">
        <v>95.923012</v>
      </c>
      <c r="L31" s="38"/>
      <c r="M31" s="108">
        <v>98.817605999999998</v>
      </c>
      <c r="N31" s="38"/>
      <c r="O31" s="108">
        <v>78.217203999999995</v>
      </c>
      <c r="P31" s="38"/>
      <c r="Q31" s="108"/>
      <c r="R31" s="38"/>
      <c r="S31" s="108">
        <v>77.153395000000003</v>
      </c>
      <c r="T31" s="38"/>
      <c r="U31" s="108">
        <v>64.824231999999995</v>
      </c>
      <c r="V31" s="38"/>
      <c r="W31" s="108">
        <v>61.378928000000002</v>
      </c>
      <c r="X31" s="38"/>
      <c r="Y31" s="108">
        <v>67.557568000000003</v>
      </c>
      <c r="Z31" s="38"/>
    </row>
    <row r="32" spans="1:26">
      <c r="A32" s="38" t="s">
        <v>121</v>
      </c>
      <c r="B32" s="38">
        <v>2000</v>
      </c>
      <c r="C32" s="108">
        <v>40.941589</v>
      </c>
      <c r="D32" s="108"/>
      <c r="E32" s="108">
        <v>29.411878000000002</v>
      </c>
      <c r="F32" s="38"/>
      <c r="G32" s="108">
        <v>66.150514999999999</v>
      </c>
      <c r="H32" s="38"/>
      <c r="I32" s="108">
        <v>28.796287</v>
      </c>
      <c r="J32" s="38"/>
      <c r="K32" s="108">
        <v>16.805326000000001</v>
      </c>
      <c r="L32" s="38"/>
      <c r="M32" s="108">
        <v>55.013705999999999</v>
      </c>
      <c r="N32" s="38"/>
      <c r="O32" s="108"/>
      <c r="P32" s="38"/>
      <c r="Q32" s="108"/>
      <c r="R32" s="38"/>
      <c r="S32" s="108"/>
      <c r="T32" s="38"/>
      <c r="U32" s="108">
        <v>18.650057</v>
      </c>
      <c r="V32" s="38"/>
      <c r="W32" s="108"/>
      <c r="X32" s="38"/>
      <c r="Y32" s="108">
        <v>38.666899999999998</v>
      </c>
      <c r="Z32" s="38"/>
    </row>
    <row r="33" spans="1:26">
      <c r="A33" s="38" t="s">
        <v>121</v>
      </c>
      <c r="B33" s="38">
        <v>2005</v>
      </c>
      <c r="C33" s="108">
        <v>44.229714999999999</v>
      </c>
      <c r="D33" s="108"/>
      <c r="E33" s="108">
        <v>32.583829000000001</v>
      </c>
      <c r="F33" s="38"/>
      <c r="G33" s="108">
        <v>67.846968000000004</v>
      </c>
      <c r="H33" s="38"/>
      <c r="I33" s="108">
        <v>31.072323999999998</v>
      </c>
      <c r="J33" s="38"/>
      <c r="K33" s="108">
        <v>18.450492000000001</v>
      </c>
      <c r="L33" s="38"/>
      <c r="M33" s="108">
        <v>56.668745000000001</v>
      </c>
      <c r="N33" s="38"/>
      <c r="O33" s="108"/>
      <c r="P33" s="38"/>
      <c r="Q33" s="108"/>
      <c r="R33" s="38"/>
      <c r="S33" s="108"/>
      <c r="T33" s="38"/>
      <c r="U33" s="108">
        <v>19.626487999999998</v>
      </c>
      <c r="V33" s="38"/>
      <c r="W33" s="108"/>
      <c r="X33" s="38"/>
      <c r="Y33" s="108">
        <v>39.113602</v>
      </c>
      <c r="Z33" s="38"/>
    </row>
    <row r="34" spans="1:26">
      <c r="A34" s="38" t="s">
        <v>121</v>
      </c>
      <c r="B34" s="38">
        <v>2010</v>
      </c>
      <c r="C34" s="108">
        <v>50.169764999999998</v>
      </c>
      <c r="D34" s="108"/>
      <c r="E34" s="108">
        <v>39.100186000000001</v>
      </c>
      <c r="F34" s="38"/>
      <c r="G34" s="108">
        <v>70.954120000000003</v>
      </c>
      <c r="H34" s="38"/>
      <c r="I34" s="108">
        <v>35.922097000000001</v>
      </c>
      <c r="J34" s="38"/>
      <c r="K34" s="108">
        <v>22.589832000000001</v>
      </c>
      <c r="L34" s="38"/>
      <c r="M34" s="108">
        <v>60.954892000000001</v>
      </c>
      <c r="N34" s="38"/>
      <c r="O34" s="108"/>
      <c r="P34" s="38"/>
      <c r="Q34" s="108"/>
      <c r="R34" s="38"/>
      <c r="S34" s="108"/>
      <c r="T34" s="38"/>
      <c r="U34" s="108">
        <v>22.103442999999999</v>
      </c>
      <c r="V34" s="38"/>
      <c r="W34" s="108"/>
      <c r="X34" s="38"/>
      <c r="Y34" s="108">
        <v>41.189743</v>
      </c>
      <c r="Z34" s="38"/>
    </row>
    <row r="35" spans="1:26">
      <c r="A35" s="38" t="s">
        <v>121</v>
      </c>
      <c r="B35" s="38">
        <v>2015</v>
      </c>
      <c r="C35" s="108">
        <v>56.103822000000001</v>
      </c>
      <c r="D35" s="108"/>
      <c r="E35" s="108">
        <v>45.602423999999999</v>
      </c>
      <c r="F35" s="38"/>
      <c r="G35" s="108">
        <v>74.037727000000004</v>
      </c>
      <c r="H35" s="38"/>
      <c r="I35" s="108">
        <v>40.980102000000002</v>
      </c>
      <c r="J35" s="38"/>
      <c r="K35" s="108">
        <v>26.901059</v>
      </c>
      <c r="L35" s="38"/>
      <c r="M35" s="108">
        <v>65.023781</v>
      </c>
      <c r="N35" s="38"/>
      <c r="O35" s="108"/>
      <c r="P35" s="38"/>
      <c r="Q35" s="108"/>
      <c r="R35" s="38"/>
      <c r="S35" s="108"/>
      <c r="T35" s="38"/>
      <c r="U35" s="108">
        <v>24.981225999999999</v>
      </c>
      <c r="V35" s="38"/>
      <c r="W35" s="108"/>
      <c r="X35" s="38"/>
      <c r="Y35" s="108">
        <v>42.920397000000001</v>
      </c>
      <c r="Z35" s="38"/>
    </row>
    <row r="36" spans="1:26">
      <c r="A36" s="38" t="s">
        <v>121</v>
      </c>
      <c r="B36" s="38">
        <v>2020</v>
      </c>
      <c r="C36" s="108">
        <v>61.648339</v>
      </c>
      <c r="D36" s="108"/>
      <c r="E36" s="108">
        <v>51.727269999999997</v>
      </c>
      <c r="F36" s="38"/>
      <c r="G36" s="108">
        <v>77.009960000000007</v>
      </c>
      <c r="H36" s="38"/>
      <c r="I36" s="108">
        <v>43.782829999999997</v>
      </c>
      <c r="J36" s="38"/>
      <c r="K36" s="108">
        <v>29.136489000000001</v>
      </c>
      <c r="L36" s="38"/>
      <c r="M36" s="108">
        <v>66.458476000000005</v>
      </c>
      <c r="N36" s="38"/>
      <c r="O36" s="108"/>
      <c r="P36" s="38"/>
      <c r="Q36" s="108"/>
      <c r="R36" s="38"/>
      <c r="S36" s="108"/>
      <c r="T36" s="38"/>
      <c r="U36" s="108">
        <v>27.650191</v>
      </c>
      <c r="V36" s="38"/>
      <c r="W36" s="108"/>
      <c r="X36" s="38"/>
      <c r="Y36" s="108">
        <v>43.626286</v>
      </c>
      <c r="Z36" s="38"/>
    </row>
    <row r="37" spans="1:26">
      <c r="A37" s="38" t="s">
        <v>121</v>
      </c>
      <c r="B37" s="38">
        <v>2021</v>
      </c>
      <c r="C37" s="108">
        <v>62.797511999999998</v>
      </c>
      <c r="D37" s="108"/>
      <c r="E37" s="108">
        <v>53.025053</v>
      </c>
      <c r="F37" s="38"/>
      <c r="G37" s="108">
        <v>77.615088999999998</v>
      </c>
      <c r="H37" s="38"/>
      <c r="I37" s="108">
        <v>69.281553000000002</v>
      </c>
      <c r="J37" s="38"/>
      <c r="K37" s="108">
        <v>61.046093999999997</v>
      </c>
      <c r="L37" s="38"/>
      <c r="M37" s="108">
        <v>80.636199000000005</v>
      </c>
      <c r="N37" s="38"/>
      <c r="O37" s="108"/>
      <c r="P37" s="38"/>
      <c r="Q37" s="108"/>
      <c r="R37" s="38"/>
      <c r="S37" s="108"/>
      <c r="T37" s="38"/>
      <c r="U37" s="108">
        <v>43.875529</v>
      </c>
      <c r="V37" s="38"/>
      <c r="W37" s="108"/>
      <c r="X37" s="38"/>
      <c r="Y37" s="108">
        <v>55.202395000000003</v>
      </c>
      <c r="Z37" s="38"/>
    </row>
    <row r="38" spans="1:26">
      <c r="A38" s="38" t="s">
        <v>121</v>
      </c>
      <c r="B38" s="38">
        <v>2022</v>
      </c>
      <c r="C38" s="108">
        <v>63.440486999999997</v>
      </c>
      <c r="D38" s="108"/>
      <c r="E38" s="108">
        <v>53.723365000000001</v>
      </c>
      <c r="F38" s="38"/>
      <c r="G38" s="108">
        <v>77.862626000000006</v>
      </c>
      <c r="H38" s="38"/>
      <c r="I38" s="108">
        <v>69.514989</v>
      </c>
      <c r="J38" s="38"/>
      <c r="K38" s="108">
        <v>61.20478</v>
      </c>
      <c r="L38" s="38"/>
      <c r="M38" s="108">
        <v>80.753390999999993</v>
      </c>
      <c r="N38" s="38"/>
      <c r="O38" s="108"/>
      <c r="P38" s="38"/>
      <c r="Q38" s="108"/>
      <c r="R38" s="38"/>
      <c r="S38" s="108"/>
      <c r="T38" s="38"/>
      <c r="U38" s="108">
        <v>44.067512999999998</v>
      </c>
      <c r="V38" s="38"/>
      <c r="W38" s="108"/>
      <c r="X38" s="38"/>
      <c r="Y38" s="108">
        <v>55.257899999999999</v>
      </c>
      <c r="Z38" s="38"/>
    </row>
  </sheetData>
  <mergeCells count="16">
    <mergeCell ref="W2:X2"/>
    <mergeCell ref="Y2:Z2"/>
    <mergeCell ref="C1:H1"/>
    <mergeCell ref="I1:N1"/>
    <mergeCell ref="O1:T1"/>
    <mergeCell ref="U1:Z1"/>
    <mergeCell ref="C2:D2"/>
    <mergeCell ref="E2:F2"/>
    <mergeCell ref="G2:H2"/>
    <mergeCell ref="I2:J2"/>
    <mergeCell ref="K2:L2"/>
    <mergeCell ref="M2:N2"/>
    <mergeCell ref="O2:P2"/>
    <mergeCell ref="Q2:R2"/>
    <mergeCell ref="S2:T2"/>
    <mergeCell ref="U2:V2"/>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C8D9E-C0B9-4DBF-921D-A76CC2400AB9}">
  <sheetPr codeName="Sheet37">
    <tabColor theme="6" tint="0.39997558519241921"/>
  </sheetPr>
  <dimension ref="A1:G28"/>
  <sheetViews>
    <sheetView showGridLines="0" zoomScale="70" zoomScaleNormal="70" workbookViewId="0">
      <pane xSplit="1" ySplit="2" topLeftCell="B12" activePane="bottomRight" state="frozen"/>
      <selection pane="topRight" activeCell="B1" sqref="B1:F1"/>
      <selection pane="bottomLeft" activeCell="B1" sqref="B1:F1"/>
      <selection pane="bottomRight" activeCell="C1" sqref="C1:E1"/>
    </sheetView>
  </sheetViews>
  <sheetFormatPr defaultRowHeight="14.5"/>
  <cols>
    <col min="1" max="1" width="15" bestFit="1" customWidth="1"/>
    <col min="2" max="2" width="11" style="53" bestFit="1" customWidth="1"/>
    <col min="3" max="5" width="11.453125" style="58" customWidth="1"/>
    <col min="6" max="7" width="16.54296875" bestFit="1" customWidth="1"/>
  </cols>
  <sheetData>
    <row r="1" spans="1:6" ht="31.4" customHeight="1">
      <c r="A1" s="62" t="s">
        <v>231</v>
      </c>
      <c r="C1" s="503" t="s">
        <v>319</v>
      </c>
      <c r="D1" s="503"/>
      <c r="E1" s="503"/>
    </row>
    <row r="2" spans="1:6">
      <c r="A2" s="35" t="s">
        <v>113</v>
      </c>
      <c r="B2" s="44" t="s">
        <v>104</v>
      </c>
      <c r="C2" s="145" t="s">
        <v>244</v>
      </c>
      <c r="D2" s="145" t="s">
        <v>250</v>
      </c>
      <c r="E2" s="145" t="s">
        <v>251</v>
      </c>
    </row>
    <row r="3" spans="1:6">
      <c r="A3" s="38" t="s">
        <v>67</v>
      </c>
      <c r="B3" s="144">
        <v>2010</v>
      </c>
      <c r="C3" s="108">
        <v>71.776457698235617</v>
      </c>
      <c r="D3" s="108">
        <v>56.603811498709625</v>
      </c>
      <c r="E3" s="108">
        <v>83.510216729505586</v>
      </c>
    </row>
    <row r="4" spans="1:6">
      <c r="A4" s="38" t="s">
        <v>67</v>
      </c>
      <c r="B4" s="144">
        <v>2015</v>
      </c>
      <c r="C4" s="108">
        <v>75.021846865010616</v>
      </c>
      <c r="D4" s="108">
        <v>63.079729199729073</v>
      </c>
      <c r="E4" s="108">
        <v>83.721050077322815</v>
      </c>
    </row>
    <row r="5" spans="1:6">
      <c r="A5" s="38" t="s">
        <v>67</v>
      </c>
      <c r="B5" s="144">
        <v>2018</v>
      </c>
      <c r="C5" s="108">
        <v>78.803591063595533</v>
      </c>
      <c r="D5" s="108">
        <v>69.710749441381381</v>
      </c>
      <c r="E5" s="108">
        <v>85.217182589354778</v>
      </c>
    </row>
    <row r="6" spans="1:6">
      <c r="A6" s="38" t="s">
        <v>67</v>
      </c>
      <c r="B6" s="144">
        <v>2019</v>
      </c>
      <c r="C6" s="108">
        <v>78.629391795872195</v>
      </c>
      <c r="D6" s="108">
        <v>69.525545018225401</v>
      </c>
      <c r="E6" s="108">
        <v>84.983896721487497</v>
      </c>
    </row>
    <row r="7" spans="1:6">
      <c r="A7" s="38" t="s">
        <v>67</v>
      </c>
      <c r="B7" s="144">
        <v>2020</v>
      </c>
      <c r="C7" s="108">
        <v>78.425258415144498</v>
      </c>
      <c r="D7" s="108">
        <v>69.333372049426671</v>
      </c>
      <c r="E7" s="108">
        <v>84.718290213374488</v>
      </c>
      <c r="F7" s="270"/>
    </row>
    <row r="8" spans="1:6">
      <c r="A8" s="38" t="s">
        <v>119</v>
      </c>
      <c r="B8" s="144">
        <v>2010</v>
      </c>
      <c r="C8" s="108">
        <v>79.338937488242337</v>
      </c>
      <c r="D8" s="108">
        <v>66.382248306315404</v>
      </c>
      <c r="E8" s="108">
        <v>86.433699763708447</v>
      </c>
      <c r="F8" s="143"/>
    </row>
    <row r="9" spans="1:6">
      <c r="A9" s="38" t="s">
        <v>119</v>
      </c>
      <c r="B9" s="144">
        <v>2015</v>
      </c>
      <c r="C9" s="108">
        <v>80.524149926101146</v>
      </c>
      <c r="D9" s="108">
        <v>69.389632670012901</v>
      </c>
      <c r="E9" s="108">
        <v>85.939456803315124</v>
      </c>
      <c r="F9" s="143"/>
    </row>
    <row r="10" spans="1:6">
      <c r="A10" s="38" t="s">
        <v>119</v>
      </c>
      <c r="B10" s="144">
        <v>2018</v>
      </c>
      <c r="C10" s="108">
        <v>80.318156874296761</v>
      </c>
      <c r="D10" s="108">
        <v>69.531424010122166</v>
      </c>
      <c r="E10" s="108">
        <v>85.192201098240304</v>
      </c>
      <c r="F10" s="143"/>
    </row>
    <row r="11" spans="1:6">
      <c r="A11" s="38" t="s">
        <v>119</v>
      </c>
      <c r="B11" s="144">
        <v>2019</v>
      </c>
      <c r="C11" s="108">
        <v>80.155713455783967</v>
      </c>
      <c r="D11" s="108">
        <v>69.358092950620787</v>
      </c>
      <c r="E11" s="108">
        <v>84.917314326407478</v>
      </c>
      <c r="F11" s="143"/>
    </row>
    <row r="12" spans="1:6">
      <c r="A12" s="38" t="s">
        <v>119</v>
      </c>
      <c r="B12" s="144">
        <v>2020</v>
      </c>
      <c r="C12" s="108">
        <v>79.989460126734954</v>
      </c>
      <c r="D12" s="108">
        <v>69.184292192856162</v>
      </c>
      <c r="E12" s="108">
        <v>84.640806983829208</v>
      </c>
      <c r="F12" s="143"/>
    </row>
    <row r="13" spans="1:6">
      <c r="A13" s="38" t="s">
        <v>119</v>
      </c>
      <c r="B13" s="144">
        <v>2021</v>
      </c>
      <c r="C13" s="108">
        <v>71.739475112832096</v>
      </c>
      <c r="D13" s="108">
        <v>52.991358050196226</v>
      </c>
      <c r="E13" s="108">
        <v>79.619317326347954</v>
      </c>
      <c r="F13" s="143"/>
    </row>
    <row r="14" spans="1:6">
      <c r="A14" s="38" t="s">
        <v>119</v>
      </c>
      <c r="B14" s="144">
        <v>2022</v>
      </c>
      <c r="C14" s="108">
        <v>71.76057139453421</v>
      </c>
      <c r="D14" s="108">
        <v>52.834394660753915</v>
      </c>
      <c r="E14" s="108">
        <v>79.528149679275245</v>
      </c>
      <c r="F14" s="143"/>
    </row>
    <row r="15" spans="1:6">
      <c r="A15" s="38" t="s">
        <v>120</v>
      </c>
      <c r="B15" s="144">
        <v>2000</v>
      </c>
      <c r="C15" s="108">
        <v>74.382442559647828</v>
      </c>
      <c r="D15" s="108">
        <v>56.188956631611788</v>
      </c>
      <c r="E15" s="108"/>
      <c r="F15" s="143"/>
    </row>
    <row r="16" spans="1:6">
      <c r="A16" s="38" t="s">
        <v>120</v>
      </c>
      <c r="B16" s="144">
        <v>2005</v>
      </c>
      <c r="C16" s="108">
        <v>80.329921128381898</v>
      </c>
      <c r="D16" s="108">
        <v>67.047592557276502</v>
      </c>
      <c r="E16" s="108">
        <v>91.921342453000307</v>
      </c>
      <c r="F16" s="143"/>
    </row>
    <row r="17" spans="1:7">
      <c r="A17" s="38" t="s">
        <v>120</v>
      </c>
      <c r="B17" s="144">
        <v>2010</v>
      </c>
      <c r="C17" s="108">
        <v>82.356795729174124</v>
      </c>
      <c r="D17" s="108">
        <v>71.825685091329632</v>
      </c>
      <c r="E17" s="108">
        <v>91.283622749539759</v>
      </c>
      <c r="F17" s="143"/>
    </row>
    <row r="18" spans="1:7">
      <c r="A18" s="38" t="s">
        <v>120</v>
      </c>
      <c r="B18" s="144">
        <v>2015</v>
      </c>
      <c r="C18" s="108">
        <v>89.201466737273279</v>
      </c>
      <c r="D18" s="108">
        <v>84.947232143736002</v>
      </c>
      <c r="E18" s="108">
        <v>92.719972457780699</v>
      </c>
    </row>
    <row r="19" spans="1:7">
      <c r="A19" s="38" t="s">
        <v>120</v>
      </c>
      <c r="B19" s="144">
        <v>2018</v>
      </c>
      <c r="C19" s="108">
        <v>91.130580831191423</v>
      </c>
      <c r="D19" s="108">
        <v>87.852086824090321</v>
      </c>
      <c r="E19" s="108">
        <v>93.804667329484531</v>
      </c>
    </row>
    <row r="20" spans="1:7">
      <c r="A20" s="38" t="s">
        <v>120</v>
      </c>
      <c r="B20" s="144">
        <v>2019</v>
      </c>
      <c r="C20" s="108">
        <v>91.29193132794741</v>
      </c>
      <c r="D20" s="108">
        <v>88.113944122929126</v>
      </c>
      <c r="E20" s="108">
        <v>93.869986893680917</v>
      </c>
    </row>
    <row r="21" spans="1:7">
      <c r="A21" s="38" t="s">
        <v>120</v>
      </c>
      <c r="B21" s="144">
        <v>2020</v>
      </c>
      <c r="C21" s="108">
        <v>91.459102966263515</v>
      </c>
      <c r="D21" s="108">
        <v>88.379873972310918</v>
      </c>
      <c r="E21" s="108">
        <v>93.940399304895593</v>
      </c>
    </row>
    <row r="22" spans="1:7">
      <c r="A22" s="38" t="s">
        <v>121</v>
      </c>
      <c r="B22" s="144">
        <v>2010</v>
      </c>
      <c r="C22" s="108">
        <v>33.200461470409017</v>
      </c>
      <c r="D22" s="108">
        <v>28.043055308242714</v>
      </c>
      <c r="E22" s="108">
        <v>42.884059888029626</v>
      </c>
      <c r="F22" s="143"/>
    </row>
    <row r="23" spans="1:7">
      <c r="A23" s="38" t="s">
        <v>121</v>
      </c>
      <c r="B23" s="144">
        <v>2015</v>
      </c>
      <c r="C23" s="108">
        <v>32.133058217798066</v>
      </c>
      <c r="D23" s="108">
        <v>26.592908797107945</v>
      </c>
      <c r="E23" s="108">
        <v>41.594325168289302</v>
      </c>
      <c r="F23" s="143"/>
    </row>
    <row r="24" spans="1:7">
      <c r="A24" s="38" t="s">
        <v>121</v>
      </c>
      <c r="B24" s="144">
        <v>2018</v>
      </c>
      <c r="C24" s="108">
        <v>43.535169748683302</v>
      </c>
      <c r="D24" s="108">
        <v>41.242420405574777</v>
      </c>
      <c r="E24" s="108">
        <v>47.231593622711962</v>
      </c>
      <c r="F24" s="143"/>
    </row>
    <row r="25" spans="1:7">
      <c r="A25" s="38" t="s">
        <v>121</v>
      </c>
      <c r="B25" s="144">
        <v>2019</v>
      </c>
      <c r="C25" s="108">
        <v>42.800346790688266</v>
      </c>
      <c r="D25" s="108">
        <v>40.442647538551761</v>
      </c>
      <c r="E25" s="108">
        <v>46.525718858953361</v>
      </c>
      <c r="F25" s="143"/>
    </row>
    <row r="26" spans="1:7">
      <c r="A26" s="38" t="s">
        <v>121</v>
      </c>
      <c r="B26" s="144">
        <v>2020</v>
      </c>
      <c r="C26" s="108">
        <v>42.071765109036306</v>
      </c>
      <c r="D26" s="108">
        <v>39.649981866875336</v>
      </c>
      <c r="E26" s="108">
        <v>45.820633389384938</v>
      </c>
      <c r="F26" s="143"/>
    </row>
    <row r="27" spans="1:7">
      <c r="A27" s="38" t="s">
        <v>121</v>
      </c>
      <c r="B27" s="144">
        <v>2021</v>
      </c>
      <c r="C27" s="108">
        <v>41.149898254383828</v>
      </c>
      <c r="D27" s="108">
        <v>38.572687156111691</v>
      </c>
      <c r="E27" s="108">
        <v>45.057140601102148</v>
      </c>
      <c r="F27" s="143"/>
    </row>
    <row r="28" spans="1:7">
      <c r="A28" s="38" t="s">
        <v>121</v>
      </c>
      <c r="B28" s="144">
        <v>2022</v>
      </c>
      <c r="C28" s="108">
        <v>40.960444484839606</v>
      </c>
      <c r="D28" s="108">
        <v>38.281535336859498</v>
      </c>
      <c r="E28" s="108">
        <v>44.936525756794133</v>
      </c>
      <c r="F28" s="143"/>
      <c r="G28" s="270"/>
    </row>
  </sheetData>
  <mergeCells count="1">
    <mergeCell ref="C1:E1"/>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EC1D-3587-44E5-B56F-049B9C26845D}">
  <sheetPr codeName="Sheet39">
    <tabColor theme="4" tint="0.39997558519241921"/>
  </sheetPr>
  <dimension ref="A1:F29"/>
  <sheetViews>
    <sheetView showGridLines="0" zoomScale="70" zoomScaleNormal="70" workbookViewId="0">
      <pane xSplit="2" ySplit="2" topLeftCell="C12" activePane="bottomRight" state="frozen"/>
      <selection activeCell="A29" sqref="A29"/>
      <selection pane="topRight" activeCell="A29" sqref="A29"/>
      <selection pane="bottomLeft" activeCell="A29" sqref="A29"/>
      <selection pane="bottomRight" activeCell="S17" sqref="S17"/>
    </sheetView>
  </sheetViews>
  <sheetFormatPr defaultColWidth="8.81640625" defaultRowHeight="14.5"/>
  <cols>
    <col min="1" max="1" width="12.453125" style="31" bestFit="1" customWidth="1"/>
    <col min="2" max="2" width="12.453125" style="31" customWidth="1"/>
    <col min="3" max="3" width="14.1796875" style="31" customWidth="1"/>
    <col min="4" max="5" width="12.54296875" style="31" bestFit="1" customWidth="1"/>
    <col min="6" max="6" width="10.453125" style="31" bestFit="1" customWidth="1"/>
    <col min="7" max="16384" width="8.81640625" style="31"/>
  </cols>
  <sheetData>
    <row r="1" spans="1:6">
      <c r="C1" s="504" t="s">
        <v>321</v>
      </c>
      <c r="D1" s="505"/>
      <c r="E1" s="505"/>
      <c r="F1" s="506"/>
    </row>
    <row r="2" spans="1:6">
      <c r="A2" s="155" t="s">
        <v>113</v>
      </c>
      <c r="B2" s="155" t="s">
        <v>104</v>
      </c>
      <c r="C2" s="154" t="s">
        <v>244</v>
      </c>
      <c r="D2" s="154" t="s">
        <v>250</v>
      </c>
      <c r="E2" s="154" t="s">
        <v>251</v>
      </c>
      <c r="F2" s="153" t="s">
        <v>117</v>
      </c>
    </row>
    <row r="3" spans="1:6">
      <c r="A3" s="150" t="s">
        <v>67</v>
      </c>
      <c r="B3" s="152">
        <v>2000</v>
      </c>
      <c r="C3" s="151">
        <v>21843893.111618042</v>
      </c>
      <c r="D3" s="151">
        <v>19615319.871398926</v>
      </c>
      <c r="E3" s="151">
        <v>2228573.2402191162</v>
      </c>
      <c r="F3" s="150"/>
    </row>
    <row r="4" spans="1:6">
      <c r="A4" s="150" t="s">
        <v>67</v>
      </c>
      <c r="B4" s="152">
        <v>2001</v>
      </c>
      <c r="C4" s="151">
        <v>22138912.010939598</v>
      </c>
      <c r="D4" s="151">
        <v>19850355.236724854</v>
      </c>
      <c r="E4" s="151">
        <v>2288556.7742147446</v>
      </c>
      <c r="F4" s="150"/>
    </row>
    <row r="5" spans="1:6">
      <c r="A5" s="150" t="s">
        <v>67</v>
      </c>
      <c r="B5" s="152">
        <v>2002</v>
      </c>
      <c r="C5" s="151">
        <v>22362706.599803925</v>
      </c>
      <c r="D5" s="151">
        <v>20020380.422195435</v>
      </c>
      <c r="E5" s="151">
        <v>2342326.17760849</v>
      </c>
      <c r="F5" s="150"/>
    </row>
    <row r="6" spans="1:6">
      <c r="A6" s="150" t="s">
        <v>67</v>
      </c>
      <c r="B6" s="152">
        <v>2003</v>
      </c>
      <c r="C6" s="151">
        <v>22546202.605146527</v>
      </c>
      <c r="D6" s="151">
        <v>20139697.697784424</v>
      </c>
      <c r="E6" s="151">
        <v>2406504.9073621035</v>
      </c>
      <c r="F6" s="150"/>
    </row>
    <row r="7" spans="1:6">
      <c r="A7" s="150" t="s">
        <v>67</v>
      </c>
      <c r="B7" s="152">
        <v>2004</v>
      </c>
      <c r="C7" s="151">
        <v>31401790.695456266</v>
      </c>
      <c r="D7" s="151">
        <v>27961225.381958008</v>
      </c>
      <c r="E7" s="151">
        <v>3440565.3134982586</v>
      </c>
      <c r="F7" s="150"/>
    </row>
    <row r="8" spans="1:6">
      <c r="A8" s="150" t="s">
        <v>67</v>
      </c>
      <c r="B8" s="152">
        <v>2005</v>
      </c>
      <c r="C8" s="151">
        <v>31403263.99484539</v>
      </c>
      <c r="D8" s="151">
        <v>27894766.67868042</v>
      </c>
      <c r="E8" s="151">
        <v>3508497.3161649704</v>
      </c>
      <c r="F8" s="150"/>
    </row>
    <row r="9" spans="1:6">
      <c r="A9" s="150" t="s">
        <v>67</v>
      </c>
      <c r="B9" s="152">
        <v>2006</v>
      </c>
      <c r="C9" s="151">
        <v>31203757.774025917</v>
      </c>
      <c r="D9" s="151">
        <v>27689175.331939697</v>
      </c>
      <c r="E9" s="151">
        <v>3514582.4420862198</v>
      </c>
      <c r="F9" s="150"/>
    </row>
    <row r="10" spans="1:6">
      <c r="A10" s="150" t="s">
        <v>67</v>
      </c>
      <c r="B10" s="152">
        <v>2007</v>
      </c>
      <c r="C10" s="151">
        <v>31200248.617354393</v>
      </c>
      <c r="D10" s="151">
        <v>27787219.904937744</v>
      </c>
      <c r="E10" s="151">
        <v>3413028.7124166489</v>
      </c>
      <c r="F10" s="150"/>
    </row>
    <row r="11" spans="1:6">
      <c r="A11" s="150" t="s">
        <v>67</v>
      </c>
      <c r="B11" s="152">
        <v>2008</v>
      </c>
      <c r="C11" s="151">
        <v>30957034.622548103</v>
      </c>
      <c r="D11" s="151">
        <v>27513961.774337769</v>
      </c>
      <c r="E11" s="151">
        <v>3443072.8482103348</v>
      </c>
      <c r="F11" s="150"/>
    </row>
    <row r="12" spans="1:6">
      <c r="A12" s="150" t="s">
        <v>67</v>
      </c>
      <c r="B12" s="152">
        <v>2009</v>
      </c>
      <c r="C12" s="151">
        <v>33162245.610220909</v>
      </c>
      <c r="D12" s="151">
        <v>28591979.042022705</v>
      </c>
      <c r="E12" s="151">
        <v>4570266.568198204</v>
      </c>
      <c r="F12" s="150"/>
    </row>
    <row r="13" spans="1:6">
      <c r="A13" s="150" t="s">
        <v>67</v>
      </c>
      <c r="B13" s="152">
        <v>2010</v>
      </c>
      <c r="C13" s="151">
        <v>32741944.850463867</v>
      </c>
      <c r="D13" s="151">
        <v>28142080.601333618</v>
      </c>
      <c r="E13" s="151">
        <v>4599864.249130249</v>
      </c>
      <c r="F13" s="150"/>
    </row>
    <row r="14" spans="1:6">
      <c r="A14" s="150" t="s">
        <v>67</v>
      </c>
      <c r="B14" s="152">
        <v>2011</v>
      </c>
      <c r="C14" s="151">
        <v>32197932.981477737</v>
      </c>
      <c r="D14" s="151">
        <v>27586567.833953857</v>
      </c>
      <c r="E14" s="151">
        <v>4611365.14752388</v>
      </c>
      <c r="F14" s="150"/>
    </row>
    <row r="15" spans="1:6">
      <c r="A15" s="150" t="s">
        <v>67</v>
      </c>
      <c r="B15" s="152">
        <v>2012</v>
      </c>
      <c r="C15" s="151">
        <v>31748201.081825256</v>
      </c>
      <c r="D15" s="151">
        <v>27150544.179473877</v>
      </c>
      <c r="E15" s="151">
        <v>4597656.9023513794</v>
      </c>
      <c r="F15" s="150"/>
    </row>
    <row r="16" spans="1:6">
      <c r="A16" s="150" t="s">
        <v>67</v>
      </c>
      <c r="B16" s="152">
        <v>2013</v>
      </c>
      <c r="C16" s="151">
        <v>31362168.687238693</v>
      </c>
      <c r="D16" s="151">
        <v>26769182.416126251</v>
      </c>
      <c r="E16" s="151">
        <v>4592986.271112442</v>
      </c>
      <c r="F16" s="150"/>
    </row>
    <row r="17" spans="1:6">
      <c r="A17" s="150" t="s">
        <v>67</v>
      </c>
      <c r="B17" s="152">
        <v>2014</v>
      </c>
      <c r="C17" s="151">
        <v>30956950.631481171</v>
      </c>
      <c r="D17" s="151">
        <v>26375832.940198898</v>
      </c>
      <c r="E17" s="151">
        <v>4581117.6912822723</v>
      </c>
      <c r="F17" s="150"/>
    </row>
    <row r="18" spans="1:6">
      <c r="A18" s="150" t="s">
        <v>67</v>
      </c>
      <c r="B18" s="152">
        <v>2015</v>
      </c>
      <c r="C18" s="151">
        <v>30528632.358249396</v>
      </c>
      <c r="D18" s="151">
        <v>25968690.526107281</v>
      </c>
      <c r="E18" s="151">
        <v>4559941.8321421146</v>
      </c>
      <c r="F18" s="150"/>
    </row>
    <row r="19" spans="1:6">
      <c r="A19" s="150" t="s">
        <v>67</v>
      </c>
      <c r="B19" s="152">
        <v>2016</v>
      </c>
      <c r="C19" s="151">
        <v>30492162.708732836</v>
      </c>
      <c r="D19" s="151">
        <v>25930431.165527575</v>
      </c>
      <c r="E19" s="151">
        <v>4561731.5432052612</v>
      </c>
      <c r="F19" s="150"/>
    </row>
    <row r="20" spans="1:6">
      <c r="A20" s="150" t="s">
        <v>67</v>
      </c>
      <c r="B20" s="152">
        <v>2017</v>
      </c>
      <c r="C20" s="151">
        <v>30641627.425082758</v>
      </c>
      <c r="D20" s="151">
        <v>26064285.393610045</v>
      </c>
      <c r="E20" s="151">
        <v>4577342.0314727128</v>
      </c>
      <c r="F20" s="150"/>
    </row>
    <row r="21" spans="1:6">
      <c r="A21" s="150" t="s">
        <v>67</v>
      </c>
      <c r="B21" s="152">
        <v>2018</v>
      </c>
      <c r="C21" s="151">
        <v>31069764.071359679</v>
      </c>
      <c r="D21" s="151">
        <v>25824452.279776141</v>
      </c>
      <c r="E21" s="151">
        <v>5245311.7915835362</v>
      </c>
      <c r="F21" s="150" t="s">
        <v>322</v>
      </c>
    </row>
    <row r="22" spans="1:6">
      <c r="A22" s="150" t="s">
        <v>67</v>
      </c>
      <c r="B22" s="152">
        <v>2019</v>
      </c>
      <c r="C22" s="151">
        <v>31279574.697233789</v>
      </c>
      <c r="D22" s="151">
        <v>25873187.38342835</v>
      </c>
      <c r="E22" s="151">
        <v>5406387.3138054386</v>
      </c>
      <c r="F22" s="150" t="s">
        <v>322</v>
      </c>
    </row>
    <row r="23" spans="1:6">
      <c r="A23" s="150" t="s">
        <v>67</v>
      </c>
      <c r="B23" s="152">
        <v>2020</v>
      </c>
      <c r="C23" s="151">
        <v>31489385.323107906</v>
      </c>
      <c r="D23" s="151">
        <v>25921922.487080563</v>
      </c>
      <c r="E23" s="151">
        <v>5567462.836027341</v>
      </c>
      <c r="F23" s="150" t="s">
        <v>322</v>
      </c>
    </row>
    <row r="24" spans="1:6">
      <c r="A24" s="150" t="s">
        <v>67</v>
      </c>
      <c r="B24" s="152">
        <v>2021</v>
      </c>
      <c r="C24" s="151">
        <v>31699195.948982015</v>
      </c>
      <c r="D24" s="151">
        <v>25970657.590732772</v>
      </c>
      <c r="E24" s="151">
        <v>5728538.3582492433</v>
      </c>
      <c r="F24" s="150" t="s">
        <v>322</v>
      </c>
    </row>
    <row r="25" spans="1:6">
      <c r="A25" s="150" t="s">
        <v>67</v>
      </c>
      <c r="B25" s="152">
        <v>2022</v>
      </c>
      <c r="C25" s="151">
        <v>31909006.574856132</v>
      </c>
      <c r="D25" s="151">
        <v>26019392.694384985</v>
      </c>
      <c r="E25" s="151">
        <v>5889613.8804711457</v>
      </c>
      <c r="F25" s="150" t="s">
        <v>322</v>
      </c>
    </row>
    <row r="26" spans="1:6">
      <c r="A26" s="150" t="s">
        <v>67</v>
      </c>
      <c r="B26" s="152">
        <v>2023</v>
      </c>
      <c r="C26" s="151">
        <v>32118817.200730242</v>
      </c>
      <c r="D26" s="151">
        <v>26068127.798037194</v>
      </c>
      <c r="E26" s="151">
        <v>6050689.4026930481</v>
      </c>
      <c r="F26" s="150" t="s">
        <v>322</v>
      </c>
    </row>
    <row r="27" spans="1:6">
      <c r="A27" s="150" t="s">
        <v>67</v>
      </c>
      <c r="B27" s="152">
        <v>2024</v>
      </c>
      <c r="C27" s="151">
        <v>32328627.826604359</v>
      </c>
      <c r="D27" s="151">
        <v>26116862.901689406</v>
      </c>
      <c r="E27" s="151">
        <v>6211764.9249149505</v>
      </c>
      <c r="F27" s="150" t="s">
        <v>322</v>
      </c>
    </row>
    <row r="29" spans="1:6">
      <c r="A29" s="31" t="s">
        <v>323</v>
      </c>
    </row>
  </sheetData>
  <autoFilter ref="B2:F27" xr:uid="{4751EBD6-28AB-41F8-851D-E8649DBEC735}"/>
  <mergeCells count="1">
    <mergeCell ref="C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D1DF-B5F2-4F8D-966F-4EBBE3129864}">
  <sheetPr codeName="Sheet6">
    <tabColor theme="4" tint="0.39997558519241921"/>
  </sheetPr>
  <dimension ref="A1:E25"/>
  <sheetViews>
    <sheetView showGridLines="0" zoomScale="70" zoomScaleNormal="70" workbookViewId="0">
      <selection activeCell="D1" sqref="D1"/>
    </sheetView>
  </sheetViews>
  <sheetFormatPr defaultRowHeight="14.5"/>
  <cols>
    <col min="1" max="1" width="26.453125" customWidth="1"/>
    <col min="2" max="5" width="21.81640625" customWidth="1"/>
  </cols>
  <sheetData>
    <row r="1" spans="1:5" ht="48">
      <c r="A1" s="27" t="s">
        <v>4</v>
      </c>
      <c r="B1" s="28" t="s">
        <v>91</v>
      </c>
      <c r="C1" s="28" t="s">
        <v>92</v>
      </c>
      <c r="D1" s="28" t="s">
        <v>93</v>
      </c>
      <c r="E1" s="28" t="s">
        <v>94</v>
      </c>
    </row>
    <row r="2" spans="1:5">
      <c r="A2" s="13" t="s">
        <v>72</v>
      </c>
      <c r="B2" s="29">
        <v>18.099873138228677</v>
      </c>
      <c r="C2" s="29">
        <v>81.900136071337286</v>
      </c>
      <c r="D2" s="29">
        <v>1.4649418368582643</v>
      </c>
      <c r="E2" s="29">
        <v>3.5466215792254134</v>
      </c>
    </row>
    <row r="3" spans="1:5">
      <c r="A3" s="13" t="s">
        <v>95</v>
      </c>
      <c r="B3" s="29">
        <v>20.980641070451743</v>
      </c>
      <c r="C3" s="29">
        <v>79.019358929548261</v>
      </c>
      <c r="D3" s="29">
        <v>8.3209988171250568</v>
      </c>
      <c r="E3" s="29">
        <v>8.03702388234443</v>
      </c>
    </row>
    <row r="4" spans="1:5">
      <c r="A4" s="13" t="s">
        <v>73</v>
      </c>
      <c r="B4" s="29">
        <v>43.458890550342694</v>
      </c>
      <c r="C4" s="29">
        <v>56.541109449657313</v>
      </c>
      <c r="D4" s="29">
        <v>0.72264432985131388</v>
      </c>
      <c r="E4" s="29">
        <v>0.53096743490380038</v>
      </c>
    </row>
    <row r="5" spans="1:5">
      <c r="A5" s="13" t="s">
        <v>74</v>
      </c>
      <c r="B5" s="29">
        <v>25.026893092403458</v>
      </c>
      <c r="C5" s="29">
        <v>74.971898229286268</v>
      </c>
      <c r="D5" s="29">
        <v>2.0428861199652273</v>
      </c>
      <c r="E5" s="29">
        <v>4.8590958921777263</v>
      </c>
    </row>
    <row r="6" spans="1:5">
      <c r="A6" s="13" t="s">
        <v>75</v>
      </c>
      <c r="B6" s="29">
        <v>14.979305764610801</v>
      </c>
      <c r="C6" s="29">
        <v>85.0206942353892</v>
      </c>
      <c r="D6" s="29">
        <v>3.1579206088574403</v>
      </c>
      <c r="E6" s="29">
        <v>3.4286158489793093</v>
      </c>
    </row>
    <row r="7" spans="1:5">
      <c r="A7" s="13" t="s">
        <v>76</v>
      </c>
      <c r="B7" s="29">
        <v>11.544650480737474</v>
      </c>
      <c r="C7" s="29">
        <v>88.455337991753453</v>
      </c>
      <c r="D7" s="29">
        <v>0.93371157089408052</v>
      </c>
      <c r="E7" s="29">
        <v>0.69043592466611658</v>
      </c>
    </row>
    <row r="8" spans="1:5">
      <c r="A8" s="13" t="s">
        <v>77</v>
      </c>
      <c r="B8" s="29">
        <v>14.967027748134489</v>
      </c>
      <c r="C8" s="29">
        <v>85.032931936096276</v>
      </c>
      <c r="D8" s="29">
        <v>0.91745343371627908</v>
      </c>
      <c r="E8" s="29">
        <v>0.17874304288932205</v>
      </c>
    </row>
    <row r="9" spans="1:5">
      <c r="A9" s="13" t="s">
        <v>78</v>
      </c>
      <c r="B9" s="29">
        <v>24.008593934588383</v>
      </c>
      <c r="C9" s="29">
        <v>75.99140606541161</v>
      </c>
      <c r="D9" s="29">
        <v>2.6687972564764206</v>
      </c>
      <c r="E9" s="29">
        <v>5.3508952676264459</v>
      </c>
    </row>
    <row r="10" spans="1:5">
      <c r="A10" s="13" t="s">
        <v>79</v>
      </c>
      <c r="B10" s="29">
        <v>30.490655011428448</v>
      </c>
      <c r="C10" s="29">
        <v>69.50934498857157</v>
      </c>
      <c r="D10" s="29">
        <v>4.7534530557177996</v>
      </c>
      <c r="E10" s="29">
        <v>7.7476230729050606</v>
      </c>
    </row>
    <row r="11" spans="1:5">
      <c r="A11" s="13" t="s">
        <v>80</v>
      </c>
      <c r="B11" s="29">
        <v>21.273629308017345</v>
      </c>
      <c r="C11" s="29">
        <v>78.726370691982666</v>
      </c>
      <c r="D11" s="29">
        <v>0.33857804219499332</v>
      </c>
      <c r="E11" s="29">
        <v>0.64747104703379821</v>
      </c>
    </row>
    <row r="12" spans="1:5">
      <c r="A12" s="13" t="s">
        <v>89</v>
      </c>
      <c r="B12" s="29">
        <v>16.084485517950487</v>
      </c>
      <c r="C12" s="29">
        <v>83.915602513473203</v>
      </c>
      <c r="D12" s="29">
        <v>3.5372414661244687</v>
      </c>
      <c r="E12" s="29">
        <v>2.7406356806113008</v>
      </c>
    </row>
    <row r="13" spans="1:5">
      <c r="A13" s="13" t="s">
        <v>96</v>
      </c>
      <c r="B13" s="29">
        <v>16.068535407533872</v>
      </c>
      <c r="C13" s="29">
        <v>83.931464592466142</v>
      </c>
      <c r="D13" s="29">
        <v>13.671265409341398</v>
      </c>
      <c r="E13" s="29">
        <v>6.0355071182043707</v>
      </c>
    </row>
    <row r="14" spans="1:5">
      <c r="A14" s="13" t="s">
        <v>97</v>
      </c>
      <c r="B14" s="29">
        <v>16.621610090511997</v>
      </c>
      <c r="C14" s="29">
        <v>83.378389909488007</v>
      </c>
      <c r="D14" s="29">
        <v>2.3081533912474868</v>
      </c>
      <c r="E14" s="29">
        <v>2.879782008123239</v>
      </c>
    </row>
    <row r="15" spans="1:5">
      <c r="A15" s="13" t="s">
        <v>85</v>
      </c>
      <c r="B15" s="29">
        <v>31.045943700220906</v>
      </c>
      <c r="C15" s="29">
        <v>68.954056299779097</v>
      </c>
      <c r="D15" s="29">
        <v>10.300311782131745</v>
      </c>
      <c r="E15" s="29">
        <v>11.139475776202792</v>
      </c>
    </row>
    <row r="16" spans="1:5">
      <c r="A16" s="13" t="s">
        <v>86</v>
      </c>
      <c r="B16" s="29">
        <v>17.863567284039348</v>
      </c>
      <c r="C16" s="29">
        <v>82.136432715960666</v>
      </c>
      <c r="D16" s="29">
        <v>1.6959470191144761</v>
      </c>
      <c r="E16" s="29">
        <v>1.1528677068412516</v>
      </c>
    </row>
    <row r="17" spans="1:5">
      <c r="A17" s="13" t="s">
        <v>98</v>
      </c>
      <c r="B17" s="29">
        <v>26.579827016911995</v>
      </c>
      <c r="C17" s="29">
        <v>73.420172983088008</v>
      </c>
      <c r="D17" s="29">
        <v>3.7493584788335284</v>
      </c>
      <c r="E17" s="29">
        <v>4.9398377556389459</v>
      </c>
    </row>
    <row r="18" spans="1:5">
      <c r="A18" s="13" t="s">
        <v>87</v>
      </c>
      <c r="B18" s="29">
        <v>23.093175839834363</v>
      </c>
      <c r="C18" s="29">
        <v>76.906824160165627</v>
      </c>
      <c r="D18" s="29">
        <v>11.705887619715339</v>
      </c>
      <c r="E18" s="29">
        <v>10.744474001228213</v>
      </c>
    </row>
    <row r="19" spans="1:5">
      <c r="A19" s="13" t="s">
        <v>99</v>
      </c>
      <c r="B19" s="29">
        <v>7.0288144292103532</v>
      </c>
      <c r="C19" s="29">
        <v>7.5602073761429116</v>
      </c>
      <c r="D19" s="29">
        <v>1.9269953198561882</v>
      </c>
      <c r="E19" s="29">
        <v>2.4295878501680557</v>
      </c>
    </row>
    <row r="20" spans="1:5">
      <c r="A20" s="15" t="s">
        <v>100</v>
      </c>
      <c r="B20" s="30">
        <f>SUM(B2:B19)/18</f>
        <v>21.067562188064269</v>
      </c>
      <c r="C20" s="30">
        <f>SUM(C2:C19)/18</f>
        <v>74.187318841088739</v>
      </c>
      <c r="D20" s="30">
        <f>SUM(D2:D19)/18</f>
        <v>4.1231414198900831</v>
      </c>
      <c r="E20" s="30">
        <f>SUM(E2:E19)/18</f>
        <v>4.282203382764977</v>
      </c>
    </row>
    <row r="21" spans="1:5">
      <c r="A21" s="15" t="s">
        <v>23</v>
      </c>
      <c r="B21" s="30">
        <v>44.539673030080209</v>
      </c>
      <c r="C21" s="30">
        <v>55.46033104502758</v>
      </c>
      <c r="D21" s="30">
        <v>5.4742379138204225</v>
      </c>
      <c r="E21" s="30">
        <v>7.9967277191835509</v>
      </c>
    </row>
    <row r="23" spans="1:5">
      <c r="A23" s="350" t="s">
        <v>605</v>
      </c>
      <c r="B23" s="333" t="s">
        <v>609</v>
      </c>
    </row>
    <row r="25" spans="1:5">
      <c r="A25" t="s">
        <v>26</v>
      </c>
      <c r="B25" t="s">
        <v>27</v>
      </c>
    </row>
  </sheetData>
  <hyperlinks>
    <hyperlink ref="B23" r:id="rId1" display="https://ilostat.ilo.org/data/" xr:uid="{25CD20C8-A965-499E-A677-021C522D6D73}"/>
  </hyperlinks>
  <pageMargins left="0.7" right="0.7" top="0.75" bottom="0.75" header="0.3" footer="0.3"/>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723C6-D863-4DE4-BD69-1315D69D989E}">
  <sheetPr>
    <tabColor theme="0" tint="-0.499984740745262"/>
  </sheetPr>
  <dimension ref="A1:AS15"/>
  <sheetViews>
    <sheetView zoomScale="70" zoomScaleNormal="70" workbookViewId="0">
      <selection activeCell="A20" sqref="A20"/>
    </sheetView>
  </sheetViews>
  <sheetFormatPr defaultRowHeight="14.5"/>
  <cols>
    <col min="1" max="1" width="89.54296875" style="240" customWidth="1"/>
    <col min="2" max="6" width="10.54296875" style="240" customWidth="1"/>
    <col min="7" max="45" width="8.81640625" style="240"/>
  </cols>
  <sheetData>
    <row r="1" spans="1:6" ht="32">
      <c r="A1" s="28" t="s">
        <v>180</v>
      </c>
      <c r="B1" s="356" t="s">
        <v>121</v>
      </c>
      <c r="C1" s="356" t="s">
        <v>67</v>
      </c>
      <c r="D1" s="356" t="s">
        <v>120</v>
      </c>
      <c r="E1" s="356" t="s">
        <v>119</v>
      </c>
      <c r="F1" s="356" t="s">
        <v>144</v>
      </c>
    </row>
    <row r="2" spans="1:6" ht="14.15" customHeight="1">
      <c r="A2" s="362" t="s">
        <v>498</v>
      </c>
      <c r="B2" s="301">
        <v>0.36559513031284702</v>
      </c>
      <c r="C2" s="301">
        <v>0.1094726458023124</v>
      </c>
      <c r="D2" s="301">
        <v>2.0038844668494999E-2</v>
      </c>
      <c r="E2" s="301">
        <v>7.5003412293996E-2</v>
      </c>
      <c r="F2" s="301">
        <v>1.4254465961227E-2</v>
      </c>
    </row>
    <row r="3" spans="1:6" ht="14.15" customHeight="1">
      <c r="A3" s="362" t="s">
        <v>497</v>
      </c>
      <c r="B3" s="301">
        <v>0.304850105530237</v>
      </c>
      <c r="C3" s="301">
        <v>0.10955316057452212</v>
      </c>
      <c r="D3" s="301">
        <v>2.4629189912293001E-2</v>
      </c>
      <c r="E3" s="301">
        <v>0.117157533805889</v>
      </c>
      <c r="F3" s="301">
        <v>3.0788810372243101E-2</v>
      </c>
    </row>
    <row r="4" spans="1:6" ht="14.15" customHeight="1">
      <c r="A4" s="362" t="s">
        <v>496</v>
      </c>
      <c r="B4" s="300"/>
      <c r="C4" s="301">
        <v>0.24900000089092628</v>
      </c>
      <c r="D4" s="301">
        <v>0.217827959536951</v>
      </c>
      <c r="E4" s="301">
        <v>0.25472021185013</v>
      </c>
      <c r="F4" s="300"/>
    </row>
    <row r="5" spans="1:6" ht="14.15" customHeight="1">
      <c r="A5" s="362" t="s">
        <v>495</v>
      </c>
      <c r="B5" s="301">
        <v>0.55932486948364402</v>
      </c>
      <c r="C5" s="301">
        <v>0.39673705869435649</v>
      </c>
      <c r="D5" s="301">
        <v>0.35175768335010998</v>
      </c>
      <c r="E5" s="301">
        <v>0.48262744659865298</v>
      </c>
      <c r="F5" s="301">
        <v>0.15897570778279299</v>
      </c>
    </row>
    <row r="6" spans="1:6" ht="14.15" customHeight="1">
      <c r="A6" s="362" t="s">
        <v>493</v>
      </c>
      <c r="B6" s="301">
        <v>0.59039555515160402</v>
      </c>
      <c r="C6" s="301">
        <v>0.215747415848555</v>
      </c>
      <c r="D6" s="301">
        <v>8.5408970337364998E-2</v>
      </c>
      <c r="E6" s="301">
        <v>0.28239428605465799</v>
      </c>
      <c r="F6" s="300"/>
    </row>
    <row r="7" spans="1:6" ht="15" customHeight="1">
      <c r="A7" s="362" t="s">
        <v>494</v>
      </c>
      <c r="B7" s="301">
        <v>0.28041114807128897</v>
      </c>
      <c r="C7" s="301">
        <v>9.4388303756713907E-2</v>
      </c>
      <c r="D7" s="301">
        <v>4.5067119598388702E-2</v>
      </c>
      <c r="E7" s="301">
        <v>3.8731186389923102E-2</v>
      </c>
      <c r="F7" s="301">
        <v>1.5849845409393298E-2</v>
      </c>
    </row>
    <row r="14" spans="1:6">
      <c r="A14" s="357" t="s">
        <v>25</v>
      </c>
    </row>
    <row r="15" spans="1:6">
      <c r="A15" s="172" t="s">
        <v>617</v>
      </c>
    </row>
  </sheetData>
  <hyperlinks>
    <hyperlink ref="A15" r:id="rId1" display="https://www.who.int/data/gho/data/indicators" xr:uid="{C2777C59-648F-4D0F-85EF-5C2A0D3C30C4}"/>
  </hyperlinks>
  <pageMargins left="0.7" right="0.7" top="0.75" bottom="0.75" header="0.3" footer="0.3"/>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CEF9A-76D0-4193-94A7-94BF7E4FF9D4}">
  <sheetPr codeName="Sheet38">
    <tabColor theme="0" tint="-0.499984740745262"/>
  </sheetPr>
  <dimension ref="A1:E9"/>
  <sheetViews>
    <sheetView showGridLines="0" zoomScale="70" zoomScaleNormal="70" workbookViewId="0">
      <selection activeCell="F20" sqref="F20"/>
    </sheetView>
  </sheetViews>
  <sheetFormatPr defaultRowHeight="14.5"/>
  <cols>
    <col min="1" max="1" width="18.81640625" bestFit="1" customWidth="1"/>
  </cols>
  <sheetData>
    <row r="1" spans="1:5" ht="16">
      <c r="A1" s="28" t="s">
        <v>4</v>
      </c>
      <c r="B1" s="356" t="s">
        <v>3</v>
      </c>
      <c r="C1" s="356" t="s">
        <v>2</v>
      </c>
      <c r="D1" s="149" t="s">
        <v>3</v>
      </c>
      <c r="E1" s="148" t="s">
        <v>320</v>
      </c>
    </row>
    <row r="2" spans="1:5">
      <c r="A2" s="362" t="s">
        <v>39</v>
      </c>
      <c r="B2" s="147">
        <v>0.24</v>
      </c>
      <c r="C2" s="147">
        <v>0.61</v>
      </c>
      <c r="D2" s="146">
        <f>B2*-1</f>
        <v>-0.24</v>
      </c>
    </row>
    <row r="3" spans="1:5">
      <c r="A3" s="362" t="s">
        <v>52</v>
      </c>
      <c r="B3" s="147">
        <v>0.09</v>
      </c>
      <c r="C3" s="147">
        <v>0.42</v>
      </c>
      <c r="D3" s="146">
        <f>B3*-1</f>
        <v>-0.09</v>
      </c>
    </row>
    <row r="4" spans="1:5">
      <c r="A4" s="362" t="s">
        <v>36</v>
      </c>
      <c r="B4" s="147">
        <v>0.21</v>
      </c>
      <c r="C4" s="147">
        <v>0.41</v>
      </c>
      <c r="D4" s="146">
        <f>B4*-1</f>
        <v>-0.21</v>
      </c>
    </row>
    <row r="5" spans="1:5">
      <c r="A5" s="362" t="s">
        <v>34</v>
      </c>
      <c r="B5" s="147">
        <v>0.02</v>
      </c>
      <c r="C5" s="147">
        <v>0.15</v>
      </c>
      <c r="D5" s="146">
        <f>B5*-1</f>
        <v>-0.02</v>
      </c>
    </row>
    <row r="6" spans="1:5">
      <c r="A6" s="362" t="s">
        <v>162</v>
      </c>
      <c r="B6" s="147">
        <v>0.1</v>
      </c>
      <c r="C6" s="147">
        <v>0.03</v>
      </c>
      <c r="D6" s="146">
        <f>B6*-1</f>
        <v>-0.1</v>
      </c>
    </row>
    <row r="9" spans="1:5">
      <c r="A9" s="357" t="s">
        <v>25</v>
      </c>
      <c r="B9" s="172" t="s">
        <v>624</v>
      </c>
    </row>
  </sheetData>
  <hyperlinks>
    <hyperlink ref="B9" r:id="rId1" xr:uid="{C1F92ADB-053F-4E20-B3F3-45CD404BD1AE}"/>
  </hyperlinks>
  <pageMargins left="0.7" right="0.7" top="0.75" bottom="0.75" header="0.3" footer="0.3"/>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3E9A-7273-435A-9348-238D76057165}">
  <sheetPr codeName="Sheet40">
    <tabColor theme="6" tint="0.39997558519241921"/>
  </sheetPr>
  <dimension ref="A1:G30"/>
  <sheetViews>
    <sheetView showGridLines="0" zoomScale="70" zoomScaleNormal="70" workbookViewId="0">
      <pane xSplit="1" ySplit="3" topLeftCell="B4" activePane="bottomRight" state="frozen"/>
      <selection pane="topRight" activeCell="B1" sqref="B1:G1"/>
      <selection pane="bottomLeft" activeCell="B1" sqref="B1:G1"/>
      <selection pane="bottomRight" activeCell="A20" sqref="A20"/>
    </sheetView>
  </sheetViews>
  <sheetFormatPr defaultRowHeight="14.5"/>
  <cols>
    <col min="1" max="1" width="26.54296875" bestFit="1" customWidth="1"/>
    <col min="2" max="7" width="20.453125" customWidth="1"/>
  </cols>
  <sheetData>
    <row r="1" spans="1:7" ht="15.5">
      <c r="A1" s="156"/>
      <c r="B1" s="507" t="s">
        <v>324</v>
      </c>
      <c r="C1" s="507"/>
      <c r="D1" s="507"/>
      <c r="E1" s="507"/>
      <c r="F1" s="507"/>
      <c r="G1" s="507"/>
    </row>
    <row r="2" spans="1:7">
      <c r="A2" s="156"/>
      <c r="B2" s="508" t="s">
        <v>244</v>
      </c>
      <c r="C2" s="509"/>
      <c r="D2" s="508" t="s">
        <v>250</v>
      </c>
      <c r="E2" s="509"/>
      <c r="F2" s="508" t="s">
        <v>251</v>
      </c>
      <c r="G2" s="509"/>
    </row>
    <row r="3" spans="1:7">
      <c r="A3" t="s">
        <v>4</v>
      </c>
      <c r="B3" s="157" t="s">
        <v>102</v>
      </c>
      <c r="C3" s="157" t="s">
        <v>112</v>
      </c>
      <c r="D3" s="157" t="s">
        <v>102</v>
      </c>
      <c r="E3" s="157" t="s">
        <v>112</v>
      </c>
      <c r="F3" s="157" t="s">
        <v>102</v>
      </c>
      <c r="G3" s="157" t="s">
        <v>112</v>
      </c>
    </row>
    <row r="4" spans="1:7">
      <c r="A4" s="158" t="s">
        <v>45</v>
      </c>
      <c r="B4" s="159">
        <v>44822795</v>
      </c>
      <c r="C4" s="160">
        <v>99.8</v>
      </c>
      <c r="D4" s="159">
        <v>11247756</v>
      </c>
      <c r="E4" s="160">
        <v>99.3</v>
      </c>
      <c r="F4" s="159">
        <v>33575039</v>
      </c>
      <c r="G4" s="160">
        <v>100</v>
      </c>
    </row>
    <row r="5" spans="1:7">
      <c r="A5" s="158" t="s">
        <v>37</v>
      </c>
      <c r="B5" s="159">
        <v>1472233</v>
      </c>
      <c r="C5" s="160">
        <v>100</v>
      </c>
      <c r="D5" s="159">
        <v>151007</v>
      </c>
      <c r="E5" s="160">
        <v>100</v>
      </c>
      <c r="F5" s="159">
        <v>1321226</v>
      </c>
      <c r="G5" s="160">
        <v>100</v>
      </c>
    </row>
    <row r="6" spans="1:7">
      <c r="A6" s="158" t="s">
        <v>40</v>
      </c>
      <c r="B6" s="159">
        <v>736241</v>
      </c>
      <c r="C6" s="160">
        <v>89.9</v>
      </c>
      <c r="D6" s="159">
        <v>486347</v>
      </c>
      <c r="E6" s="160">
        <v>82.9</v>
      </c>
      <c r="F6" s="159">
        <v>249894</v>
      </c>
      <c r="G6" s="160">
        <v>100</v>
      </c>
    </row>
    <row r="7" spans="1:7">
      <c r="A7" s="158" t="s">
        <v>34</v>
      </c>
      <c r="B7" s="159">
        <v>728367</v>
      </c>
      <c r="C7" s="160">
        <v>65</v>
      </c>
      <c r="D7" s="159">
        <v>88571</v>
      </c>
      <c r="E7" s="160">
        <v>36.6</v>
      </c>
      <c r="F7" s="159">
        <v>639796</v>
      </c>
      <c r="G7" s="160">
        <v>72.8</v>
      </c>
    </row>
    <row r="8" spans="1:7">
      <c r="A8" s="158" t="s">
        <v>33</v>
      </c>
      <c r="B8" s="159">
        <v>110990103</v>
      </c>
      <c r="C8" s="160">
        <v>100</v>
      </c>
      <c r="D8" s="159">
        <v>63300985</v>
      </c>
      <c r="E8" s="160">
        <v>100</v>
      </c>
      <c r="F8" s="159">
        <v>47689118</v>
      </c>
      <c r="G8" s="160">
        <v>100</v>
      </c>
    </row>
    <row r="9" spans="1:7">
      <c r="A9" s="158" t="s">
        <v>32</v>
      </c>
      <c r="B9" s="159">
        <v>44496122</v>
      </c>
      <c r="C9" s="160">
        <v>100</v>
      </c>
      <c r="D9" s="159">
        <v>12746359</v>
      </c>
      <c r="E9" s="160">
        <v>100</v>
      </c>
      <c r="F9" s="159">
        <v>31749763</v>
      </c>
      <c r="G9" s="160">
        <v>100</v>
      </c>
    </row>
    <row r="10" spans="1:7">
      <c r="A10" s="158" t="s">
        <v>43</v>
      </c>
      <c r="B10" s="159">
        <v>11274893</v>
      </c>
      <c r="C10" s="160">
        <v>100</v>
      </c>
      <c r="D10" s="159">
        <v>911418</v>
      </c>
      <c r="E10" s="160">
        <v>98.9</v>
      </c>
      <c r="F10" s="159">
        <v>10363475</v>
      </c>
      <c r="G10" s="160">
        <v>100</v>
      </c>
    </row>
    <row r="11" spans="1:7">
      <c r="A11" s="158" t="s">
        <v>48</v>
      </c>
      <c r="B11" s="159">
        <v>4268873</v>
      </c>
      <c r="C11" s="160">
        <v>100</v>
      </c>
      <c r="D11" s="159" t="s">
        <v>325</v>
      </c>
      <c r="E11" s="160"/>
      <c r="F11" s="159">
        <v>4268873</v>
      </c>
      <c r="G11" s="160">
        <v>100</v>
      </c>
    </row>
    <row r="12" spans="1:7">
      <c r="A12" s="158" t="s">
        <v>46</v>
      </c>
      <c r="B12" s="159">
        <v>5489739</v>
      </c>
      <c r="C12" s="160">
        <v>100</v>
      </c>
      <c r="D12" s="159">
        <v>589488</v>
      </c>
      <c r="E12" s="160">
        <v>100</v>
      </c>
      <c r="F12" s="159">
        <v>4900251</v>
      </c>
      <c r="G12" s="160">
        <v>100</v>
      </c>
    </row>
    <row r="13" spans="1:7">
      <c r="A13" s="158" t="s">
        <v>41</v>
      </c>
      <c r="B13" s="159">
        <v>4768639</v>
      </c>
      <c r="C13" s="160">
        <v>70</v>
      </c>
      <c r="D13" s="159" t="s">
        <v>325</v>
      </c>
      <c r="E13" s="160"/>
      <c r="F13" s="159">
        <v>5538569</v>
      </c>
      <c r="G13" s="160">
        <v>100</v>
      </c>
    </row>
    <row r="14" spans="1:7">
      <c r="A14" s="158" t="s">
        <v>36</v>
      </c>
      <c r="B14" s="159">
        <v>2322605</v>
      </c>
      <c r="C14" s="160">
        <v>49</v>
      </c>
      <c r="D14" s="159" t="s">
        <v>325</v>
      </c>
      <c r="E14" s="160"/>
      <c r="F14" s="159">
        <v>2470487</v>
      </c>
      <c r="G14" s="160">
        <v>91.6</v>
      </c>
    </row>
    <row r="15" spans="1:7">
      <c r="A15" s="158" t="s">
        <v>35</v>
      </c>
      <c r="B15" s="159">
        <v>37457971</v>
      </c>
      <c r="C15" s="160">
        <v>100</v>
      </c>
      <c r="D15" s="159">
        <v>13261620</v>
      </c>
      <c r="E15" s="160">
        <v>100</v>
      </c>
      <c r="F15" s="159">
        <v>24196351</v>
      </c>
      <c r="G15" s="160">
        <v>100</v>
      </c>
    </row>
    <row r="16" spans="1:7">
      <c r="A16" s="158" t="s">
        <v>49</v>
      </c>
      <c r="B16" s="159">
        <v>4576298</v>
      </c>
      <c r="C16" s="160">
        <v>100</v>
      </c>
      <c r="D16" s="159">
        <v>560597</v>
      </c>
      <c r="E16" s="160">
        <v>100</v>
      </c>
      <c r="F16" s="159">
        <v>4015701</v>
      </c>
      <c r="G16" s="160">
        <v>100</v>
      </c>
    </row>
    <row r="17" spans="1:7">
      <c r="A17" s="158" t="s">
        <v>47</v>
      </c>
      <c r="B17" s="159">
        <v>2695122</v>
      </c>
      <c r="C17" s="160">
        <v>100</v>
      </c>
      <c r="D17" s="159">
        <v>18381</v>
      </c>
      <c r="E17" s="160">
        <v>100</v>
      </c>
      <c r="F17" s="159">
        <v>2676741</v>
      </c>
      <c r="G17" s="160">
        <v>100</v>
      </c>
    </row>
    <row r="18" spans="1:7">
      <c r="A18" s="158" t="s">
        <v>38</v>
      </c>
      <c r="B18" s="159">
        <v>36408820</v>
      </c>
      <c r="C18" s="160">
        <v>100</v>
      </c>
      <c r="D18" s="159">
        <v>5559991</v>
      </c>
      <c r="E18" s="160">
        <v>100</v>
      </c>
      <c r="F18" s="159">
        <v>30848829</v>
      </c>
      <c r="G18" s="160">
        <v>100</v>
      </c>
    </row>
    <row r="19" spans="1:7">
      <c r="A19" s="158" t="s">
        <v>39</v>
      </c>
      <c r="B19" s="159">
        <v>9227985</v>
      </c>
      <c r="C19" s="160">
        <v>48.9</v>
      </c>
      <c r="D19" s="159">
        <v>2840225</v>
      </c>
      <c r="E19" s="160">
        <v>30.6</v>
      </c>
      <c r="F19" s="159">
        <v>6387759</v>
      </c>
      <c r="G19" s="160">
        <v>76.7</v>
      </c>
    </row>
    <row r="20" spans="1:7">
      <c r="A20" s="158" t="s">
        <v>51</v>
      </c>
      <c r="B20" s="159">
        <v>5043612</v>
      </c>
      <c r="C20" s="160">
        <v>100</v>
      </c>
      <c r="D20" s="159">
        <v>1145354</v>
      </c>
      <c r="E20" s="160">
        <v>100</v>
      </c>
      <c r="F20" s="159">
        <v>3898258</v>
      </c>
      <c r="G20" s="160">
        <v>100</v>
      </c>
    </row>
    <row r="21" spans="1:7">
      <c r="A21" s="158" t="s">
        <v>105</v>
      </c>
      <c r="B21" s="159">
        <v>28975364</v>
      </c>
      <c r="C21" s="160">
        <v>63.2</v>
      </c>
      <c r="D21" s="159">
        <v>14817929</v>
      </c>
      <c r="E21" s="160">
        <v>49.4</v>
      </c>
      <c r="F21" s="159">
        <v>14157435</v>
      </c>
      <c r="G21" s="160">
        <v>84</v>
      </c>
    </row>
    <row r="22" spans="1:7">
      <c r="A22" s="158" t="s">
        <v>162</v>
      </c>
      <c r="B22" s="159">
        <v>19734008</v>
      </c>
      <c r="C22" s="160">
        <v>89</v>
      </c>
      <c r="D22" s="159">
        <v>7173725</v>
      </c>
      <c r="E22" s="160">
        <v>75</v>
      </c>
      <c r="F22" s="159">
        <v>12560283</v>
      </c>
      <c r="G22" s="160">
        <v>100</v>
      </c>
    </row>
    <row r="23" spans="1:7">
      <c r="A23" s="158" t="s">
        <v>42</v>
      </c>
      <c r="B23" s="159">
        <v>12343972</v>
      </c>
      <c r="C23" s="160">
        <v>100</v>
      </c>
      <c r="D23" s="159">
        <v>3668248</v>
      </c>
      <c r="E23" s="160">
        <v>100</v>
      </c>
      <c r="F23" s="159">
        <v>8675724</v>
      </c>
      <c r="G23" s="160">
        <v>100</v>
      </c>
    </row>
    <row r="24" spans="1:7">
      <c r="A24" s="158" t="s">
        <v>31</v>
      </c>
      <c r="B24" s="159">
        <v>9441129</v>
      </c>
      <c r="C24" s="160">
        <v>100</v>
      </c>
      <c r="D24" s="159">
        <v>1176081</v>
      </c>
      <c r="E24" s="160">
        <v>100</v>
      </c>
      <c r="F24" s="159">
        <v>8265048</v>
      </c>
      <c r="G24" s="160">
        <v>100</v>
      </c>
    </row>
    <row r="25" spans="1:7">
      <c r="A25" s="158" t="s">
        <v>52</v>
      </c>
      <c r="B25" s="159">
        <v>26009563</v>
      </c>
      <c r="C25" s="160">
        <v>76</v>
      </c>
      <c r="D25" s="159">
        <v>13319530</v>
      </c>
      <c r="E25" s="160">
        <v>65</v>
      </c>
      <c r="F25" s="159">
        <v>12690033</v>
      </c>
      <c r="G25" s="160">
        <v>96.1</v>
      </c>
    </row>
    <row r="26" spans="1:7">
      <c r="A26" s="161" t="s">
        <v>67</v>
      </c>
      <c r="B26" s="162">
        <f>SUM(B4:B25)</f>
        <v>423284454</v>
      </c>
      <c r="C26" s="163">
        <v>91</v>
      </c>
      <c r="D26" s="162">
        <f>SUM(D4:D25)</f>
        <v>153063612</v>
      </c>
      <c r="E26" s="163">
        <v>81.3</v>
      </c>
      <c r="F26" s="162">
        <f>SUM(F4:F25)</f>
        <v>271138653</v>
      </c>
      <c r="G26" s="163">
        <v>97.6</v>
      </c>
    </row>
    <row r="27" spans="1:7">
      <c r="A27" s="161" t="s">
        <v>326</v>
      </c>
      <c r="B27" s="162">
        <f>B28-B26</f>
        <v>41863299</v>
      </c>
      <c r="C27" s="163">
        <f>100-C26</f>
        <v>9</v>
      </c>
      <c r="D27" s="162">
        <f t="shared" ref="D27" si="0">D28-D26</f>
        <v>35206514</v>
      </c>
      <c r="E27" s="163">
        <f t="shared" ref="E27" si="1">100-E26</f>
        <v>18.700000000000003</v>
      </c>
      <c r="F27" s="162">
        <f t="shared" ref="F27" si="2">F28-F26</f>
        <v>6667344</v>
      </c>
      <c r="G27" s="163">
        <f t="shared" ref="G27" si="3">100-G26</f>
        <v>2.4000000000000057</v>
      </c>
    </row>
    <row r="28" spans="1:7">
      <c r="A28" s="161" t="s">
        <v>327</v>
      </c>
      <c r="B28" s="162">
        <v>465147753</v>
      </c>
      <c r="C28" s="163"/>
      <c r="D28" s="162">
        <v>188270126</v>
      </c>
      <c r="E28" s="163"/>
      <c r="F28" s="162">
        <v>277805997</v>
      </c>
      <c r="G28" s="163"/>
    </row>
    <row r="30" spans="1:7">
      <c r="A30" s="164" t="s">
        <v>90</v>
      </c>
    </row>
  </sheetData>
  <mergeCells count="4">
    <mergeCell ref="B1:G1"/>
    <mergeCell ref="B2:C2"/>
    <mergeCell ref="D2:E2"/>
    <mergeCell ref="F2:G2"/>
  </mergeCells>
  <pageMargins left="0.7" right="0.7" top="0.75" bottom="0.75" header="0.3" footer="0.3"/>
  <ignoredErrors>
    <ignoredError sqref="C27 E27" formula="1"/>
  </ignoredError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AD9B9-ED48-4762-A3B2-7B24823C1D9C}">
  <sheetPr codeName="Sheet41">
    <tabColor theme="6" tint="0.39997558519241921"/>
  </sheetPr>
  <dimension ref="A1:L27"/>
  <sheetViews>
    <sheetView showGridLines="0" zoomScale="70" zoomScaleNormal="70" workbookViewId="0">
      <pane xSplit="3" ySplit="2" topLeftCell="D3" activePane="bottomRight" state="frozen"/>
      <selection activeCell="A27" sqref="A27"/>
      <selection pane="topRight" activeCell="A27" sqref="A27"/>
      <selection pane="bottomLeft" activeCell="A27" sqref="A27"/>
      <selection pane="bottomRight" activeCell="A25" sqref="A25"/>
    </sheetView>
  </sheetViews>
  <sheetFormatPr defaultRowHeight="14.5"/>
  <cols>
    <col min="1" max="1" width="12.453125" bestFit="1" customWidth="1"/>
    <col min="2" max="2" width="10.54296875" style="53" bestFit="1" customWidth="1"/>
    <col min="3" max="3" width="8.453125" bestFit="1" customWidth="1"/>
    <col min="4" max="10" width="14.54296875" style="41" customWidth="1"/>
    <col min="11" max="11" width="7.81640625" bestFit="1" customWidth="1"/>
    <col min="12" max="12" width="4.1796875" bestFit="1" customWidth="1"/>
  </cols>
  <sheetData>
    <row r="1" spans="1:10" ht="16">
      <c r="D1" s="510" t="s">
        <v>328</v>
      </c>
      <c r="E1" s="510"/>
      <c r="F1" s="510"/>
      <c r="G1" s="510"/>
      <c r="H1" s="510"/>
      <c r="I1" s="510"/>
      <c r="J1" s="510"/>
    </row>
    <row r="2" spans="1:10">
      <c r="A2" s="35" t="s">
        <v>113</v>
      </c>
      <c r="B2" s="44" t="s">
        <v>104</v>
      </c>
      <c r="C2" s="35" t="s">
        <v>242</v>
      </c>
      <c r="D2" s="165" t="s">
        <v>329</v>
      </c>
      <c r="E2" s="165" t="s">
        <v>330</v>
      </c>
      <c r="F2" s="165" t="s">
        <v>331</v>
      </c>
      <c r="G2" s="165" t="s">
        <v>332</v>
      </c>
      <c r="H2" s="165" t="s">
        <v>333</v>
      </c>
      <c r="I2" s="165" t="s">
        <v>334</v>
      </c>
      <c r="J2" s="165" t="s">
        <v>191</v>
      </c>
    </row>
    <row r="3" spans="1:10">
      <c r="A3" s="35" t="s">
        <v>67</v>
      </c>
      <c r="B3" s="44">
        <v>2000</v>
      </c>
      <c r="C3" s="35" t="s">
        <v>192</v>
      </c>
      <c r="D3" s="166">
        <v>8.3670000000000009</v>
      </c>
      <c r="E3" s="166">
        <v>2.5657999999999999</v>
      </c>
      <c r="F3" s="166">
        <v>0.18029999999999999</v>
      </c>
      <c r="G3" s="166">
        <v>0.69</v>
      </c>
      <c r="H3" s="166">
        <v>118.154</v>
      </c>
      <c r="I3" s="166">
        <v>7.9589999999999996</v>
      </c>
      <c r="J3" s="166">
        <f t="shared" ref="J3:J23" si="0">SUM(D3:I3)</f>
        <v>137.9161</v>
      </c>
    </row>
    <row r="4" spans="1:10">
      <c r="A4" s="35" t="s">
        <v>67</v>
      </c>
      <c r="B4" s="44">
        <v>2000</v>
      </c>
      <c r="C4" s="35" t="s">
        <v>195</v>
      </c>
      <c r="D4" s="166">
        <v>36.981200000000001</v>
      </c>
      <c r="E4" s="166">
        <v>1.2314000000000001</v>
      </c>
      <c r="F4" s="166">
        <v>8.6400000000000005E-2</v>
      </c>
      <c r="G4" s="166">
        <v>0.93379999999999996</v>
      </c>
      <c r="H4" s="166">
        <v>75.838099999999997</v>
      </c>
      <c r="I4" s="166">
        <v>13.654999999999999</v>
      </c>
      <c r="J4" s="166">
        <f t="shared" si="0"/>
        <v>128.7259</v>
      </c>
    </row>
    <row r="5" spans="1:10">
      <c r="A5" s="35" t="s">
        <v>67</v>
      </c>
      <c r="B5" s="167">
        <v>2000</v>
      </c>
      <c r="C5" s="43" t="s">
        <v>191</v>
      </c>
      <c r="D5" s="168">
        <v>45.692999999999998</v>
      </c>
      <c r="E5" s="168">
        <v>3.8540000000000001</v>
      </c>
      <c r="F5" s="168">
        <v>0.34549999999999997</v>
      </c>
      <c r="G5" s="168">
        <v>2.3610000000000002</v>
      </c>
      <c r="H5" s="168">
        <v>193.477</v>
      </c>
      <c r="I5" s="168">
        <v>21.974</v>
      </c>
      <c r="J5" s="168">
        <f t="shared" si="0"/>
        <v>267.7045</v>
      </c>
    </row>
    <row r="6" spans="1:10">
      <c r="A6" s="35" t="s">
        <v>67</v>
      </c>
      <c r="B6" s="44">
        <v>2005</v>
      </c>
      <c r="C6" s="35" t="s">
        <v>192</v>
      </c>
      <c r="D6" s="166">
        <v>7.1689999999999996</v>
      </c>
      <c r="E6" s="166">
        <v>3.3609</v>
      </c>
      <c r="F6" s="166">
        <v>3.32E-2</v>
      </c>
      <c r="G6" s="166">
        <v>1.0013000000000001</v>
      </c>
      <c r="H6" s="166">
        <v>141.98099999999999</v>
      </c>
      <c r="I6" s="166">
        <v>4.4577999999999998</v>
      </c>
      <c r="J6" s="166">
        <f t="shared" si="0"/>
        <v>158.00319999999999</v>
      </c>
    </row>
    <row r="7" spans="1:10">
      <c r="A7" s="35" t="s">
        <v>67</v>
      </c>
      <c r="B7" s="44">
        <v>2005</v>
      </c>
      <c r="C7" s="35" t="s">
        <v>195</v>
      </c>
      <c r="D7" s="166">
        <v>35.863999999999997</v>
      </c>
      <c r="E7" s="166">
        <v>1.4859</v>
      </c>
      <c r="F7" s="166">
        <v>2.64E-2</v>
      </c>
      <c r="G7" s="166">
        <v>1.1324000000000001</v>
      </c>
      <c r="H7" s="166">
        <v>96.403999999999996</v>
      </c>
      <c r="I7" s="166">
        <v>4.7066999999999997</v>
      </c>
      <c r="J7" s="166">
        <f t="shared" si="0"/>
        <v>139.61940000000001</v>
      </c>
    </row>
    <row r="8" spans="1:10">
      <c r="A8" s="35" t="s">
        <v>67</v>
      </c>
      <c r="B8" s="167">
        <v>2005</v>
      </c>
      <c r="C8" s="43" t="s">
        <v>191</v>
      </c>
      <c r="D8" s="168">
        <v>43.29</v>
      </c>
      <c r="E8" s="168">
        <v>5.0549999999999997</v>
      </c>
      <c r="F8" s="168">
        <v>8.4599999999999995E-2</v>
      </c>
      <c r="G8" s="168">
        <v>2.7856000000000001</v>
      </c>
      <c r="H8" s="168">
        <v>237.596</v>
      </c>
      <c r="I8" s="168">
        <v>9.6709999999999994</v>
      </c>
      <c r="J8" s="168">
        <f t="shared" si="0"/>
        <v>298.48219999999998</v>
      </c>
    </row>
    <row r="9" spans="1:10">
      <c r="A9" s="35" t="s">
        <v>67</v>
      </c>
      <c r="B9" s="44">
        <v>2010</v>
      </c>
      <c r="C9" s="35" t="s">
        <v>192</v>
      </c>
      <c r="D9" s="166">
        <v>5.1139999999999999</v>
      </c>
      <c r="E9" s="166">
        <v>5.1378000000000004</v>
      </c>
      <c r="F9" s="166">
        <v>6.9999999999999999E-4</v>
      </c>
      <c r="G9" s="166">
        <v>1.7649999999999999</v>
      </c>
      <c r="H9" s="166">
        <v>169.369</v>
      </c>
      <c r="I9" s="166">
        <v>2.7970000000000002</v>
      </c>
      <c r="J9" s="166">
        <f t="shared" si="0"/>
        <v>184.18350000000001</v>
      </c>
    </row>
    <row r="10" spans="1:10">
      <c r="A10" s="35" t="s">
        <v>67</v>
      </c>
      <c r="B10" s="44">
        <v>2010</v>
      </c>
      <c r="C10" s="35" t="s">
        <v>195</v>
      </c>
      <c r="D10" s="166">
        <v>34.056199999999997</v>
      </c>
      <c r="E10" s="166">
        <v>2.64</v>
      </c>
      <c r="F10" s="166">
        <v>5.4999999999999997E-3</v>
      </c>
      <c r="G10" s="166">
        <v>1.3667</v>
      </c>
      <c r="H10" s="166">
        <v>110.753</v>
      </c>
      <c r="I10" s="166">
        <v>1.5820000000000001</v>
      </c>
      <c r="J10" s="166">
        <f t="shared" si="0"/>
        <v>150.40339999999998</v>
      </c>
    </row>
    <row r="11" spans="1:10">
      <c r="A11" s="35" t="s">
        <v>67</v>
      </c>
      <c r="B11" s="167">
        <v>2010</v>
      </c>
      <c r="C11" s="43" t="s">
        <v>191</v>
      </c>
      <c r="D11" s="168">
        <v>38.909999999999997</v>
      </c>
      <c r="E11" s="168">
        <v>8.2089999999999996</v>
      </c>
      <c r="F11" s="168">
        <v>5.0900000000000001E-2</v>
      </c>
      <c r="G11" s="168">
        <v>4.0220000000000002</v>
      </c>
      <c r="H11" s="168">
        <v>279.30900000000003</v>
      </c>
      <c r="I11" s="168">
        <v>4.97</v>
      </c>
      <c r="J11" s="168">
        <f t="shared" si="0"/>
        <v>335.47090000000003</v>
      </c>
    </row>
    <row r="12" spans="1:10">
      <c r="A12" s="35" t="s">
        <v>67</v>
      </c>
      <c r="B12" s="44">
        <v>2015</v>
      </c>
      <c r="C12" s="35" t="s">
        <v>192</v>
      </c>
      <c r="D12" s="166">
        <v>2.8919999999999999</v>
      </c>
      <c r="E12" s="166">
        <v>7.6294000000000004</v>
      </c>
      <c r="F12" s="166">
        <v>8.1000000000000003E-2</v>
      </c>
      <c r="G12" s="166">
        <v>2.9870000000000001</v>
      </c>
      <c r="H12" s="166">
        <v>193.315</v>
      </c>
      <c r="I12" s="166">
        <v>2.0979999999999999</v>
      </c>
      <c r="J12" s="166">
        <f t="shared" si="0"/>
        <v>209.00240000000002</v>
      </c>
    </row>
    <row r="13" spans="1:10">
      <c r="A13" s="35" t="s">
        <v>67</v>
      </c>
      <c r="B13" s="44">
        <v>2015</v>
      </c>
      <c r="C13" s="35" t="s">
        <v>195</v>
      </c>
      <c r="D13" s="166">
        <v>30.177900000000001</v>
      </c>
      <c r="E13" s="166">
        <v>5.8179999999999996</v>
      </c>
      <c r="F13" s="166">
        <v>7.8E-2</v>
      </c>
      <c r="G13" s="166">
        <v>1.8071999999999999</v>
      </c>
      <c r="H13" s="166">
        <v>122.398</v>
      </c>
      <c r="I13" s="166">
        <v>0.85299999999999998</v>
      </c>
      <c r="J13" s="166">
        <f t="shared" si="0"/>
        <v>161.13210000000001</v>
      </c>
    </row>
    <row r="14" spans="1:10">
      <c r="A14" s="35" t="s">
        <v>67</v>
      </c>
      <c r="B14" s="167">
        <v>2015</v>
      </c>
      <c r="C14" s="43" t="s">
        <v>191</v>
      </c>
      <c r="D14" s="168">
        <v>32.981000000000002</v>
      </c>
      <c r="E14" s="168">
        <v>13.845000000000001</v>
      </c>
      <c r="F14" s="168">
        <v>0.24199999999999999</v>
      </c>
      <c r="G14" s="168">
        <v>6.2089999999999996</v>
      </c>
      <c r="H14" s="168">
        <v>314.28399999999999</v>
      </c>
      <c r="I14" s="168">
        <v>3.4929999999999999</v>
      </c>
      <c r="J14" s="168">
        <f t="shared" si="0"/>
        <v>371.05399999999997</v>
      </c>
    </row>
    <row r="15" spans="1:10">
      <c r="A15" s="35" t="s">
        <v>67</v>
      </c>
      <c r="B15" s="44">
        <v>2020</v>
      </c>
      <c r="C15" s="35" t="s">
        <v>192</v>
      </c>
      <c r="D15" s="166">
        <v>2.2090000000000001</v>
      </c>
      <c r="E15" s="166">
        <v>8.6913</v>
      </c>
      <c r="F15" s="166">
        <v>0.32700000000000001</v>
      </c>
      <c r="G15" s="166">
        <v>5.2729999999999997</v>
      </c>
      <c r="H15" s="166">
        <v>214.61</v>
      </c>
      <c r="I15" s="166">
        <v>1.6839999999999999</v>
      </c>
      <c r="J15" s="166">
        <f t="shared" si="0"/>
        <v>232.79430000000002</v>
      </c>
    </row>
    <row r="16" spans="1:10">
      <c r="A16" s="35" t="s">
        <v>67</v>
      </c>
      <c r="B16" s="44">
        <v>2020</v>
      </c>
      <c r="C16" s="35" t="s">
        <v>195</v>
      </c>
      <c r="D16" s="166">
        <v>25.492000000000001</v>
      </c>
      <c r="E16" s="166">
        <v>9.4730000000000008</v>
      </c>
      <c r="F16" s="166">
        <v>0.28000000000000003</v>
      </c>
      <c r="G16" s="166">
        <v>2.5398000000000001</v>
      </c>
      <c r="H16" s="166">
        <v>130.386</v>
      </c>
      <c r="I16" s="166">
        <v>0.52100000000000002</v>
      </c>
      <c r="J16" s="166">
        <f t="shared" si="0"/>
        <v>168.69179999999997</v>
      </c>
    </row>
    <row r="17" spans="1:12">
      <c r="A17" s="35" t="s">
        <v>67</v>
      </c>
      <c r="B17" s="167">
        <v>2020</v>
      </c>
      <c r="C17" s="43" t="s">
        <v>191</v>
      </c>
      <c r="D17" s="168">
        <v>28.17</v>
      </c>
      <c r="E17" s="168">
        <v>18.882999999999999</v>
      </c>
      <c r="F17" s="168">
        <v>0.93</v>
      </c>
      <c r="G17" s="168">
        <v>10.041</v>
      </c>
      <c r="H17" s="168">
        <v>342.21499999999997</v>
      </c>
      <c r="I17" s="168">
        <v>3.0270000000000001</v>
      </c>
      <c r="J17" s="168">
        <f t="shared" si="0"/>
        <v>403.26599999999996</v>
      </c>
    </row>
    <row r="18" spans="1:12">
      <c r="A18" s="35" t="s">
        <v>67</v>
      </c>
      <c r="B18" s="44">
        <v>2021</v>
      </c>
      <c r="C18" s="35" t="s">
        <v>192</v>
      </c>
      <c r="D18" s="166">
        <v>2.2959999999999998</v>
      </c>
      <c r="E18" s="166">
        <v>8.7323000000000004</v>
      </c>
      <c r="F18" s="166">
        <v>0.38700000000000001</v>
      </c>
      <c r="G18" s="166">
        <v>6.1520000000000001</v>
      </c>
      <c r="H18" s="166">
        <v>218.59800000000001</v>
      </c>
      <c r="I18" s="166">
        <v>1.611</v>
      </c>
      <c r="J18" s="166">
        <f t="shared" si="0"/>
        <v>237.77629999999999</v>
      </c>
    </row>
    <row r="19" spans="1:12">
      <c r="A19" s="35" t="s">
        <v>67</v>
      </c>
      <c r="B19" s="44">
        <v>2021</v>
      </c>
      <c r="C19" s="35" t="s">
        <v>195</v>
      </c>
      <c r="D19" s="166">
        <v>24.59</v>
      </c>
      <c r="E19" s="166">
        <v>10.016</v>
      </c>
      <c r="F19" s="166">
        <v>0.32</v>
      </c>
      <c r="G19" s="166">
        <v>2.6848000000000001</v>
      </c>
      <c r="H19" s="166">
        <v>131.71700000000001</v>
      </c>
      <c r="I19" s="166">
        <v>0.49099999999999999</v>
      </c>
      <c r="J19" s="166">
        <f t="shared" si="0"/>
        <v>169.81880000000004</v>
      </c>
    </row>
    <row r="20" spans="1:12">
      <c r="A20" s="35" t="s">
        <v>67</v>
      </c>
      <c r="B20" s="167">
        <v>2021</v>
      </c>
      <c r="C20" s="43" t="s">
        <v>191</v>
      </c>
      <c r="D20" s="168">
        <v>27.49</v>
      </c>
      <c r="E20" s="168">
        <v>19.565000000000001</v>
      </c>
      <c r="F20" s="168">
        <v>1.131</v>
      </c>
      <c r="G20" s="168">
        <v>11.237</v>
      </c>
      <c r="H20" s="168">
        <v>346.53300000000002</v>
      </c>
      <c r="I20" s="168">
        <v>2.9510000000000001</v>
      </c>
      <c r="J20" s="168">
        <f t="shared" si="0"/>
        <v>408.90700000000004</v>
      </c>
    </row>
    <row r="21" spans="1:12">
      <c r="A21" s="35" t="s">
        <v>67</v>
      </c>
      <c r="B21" s="44">
        <v>2022</v>
      </c>
      <c r="C21" s="35" t="s">
        <v>192</v>
      </c>
      <c r="D21" s="166">
        <v>2.3860000000000001</v>
      </c>
      <c r="E21" s="166">
        <v>8.7919999999999998</v>
      </c>
      <c r="F21" s="166">
        <v>0.44700000000000001</v>
      </c>
      <c r="G21" s="166">
        <v>6.7267999999999999</v>
      </c>
      <c r="H21" s="166">
        <v>222.554</v>
      </c>
      <c r="I21" s="166">
        <v>1.548</v>
      </c>
      <c r="J21" s="166">
        <f t="shared" si="0"/>
        <v>242.4538</v>
      </c>
    </row>
    <row r="22" spans="1:12">
      <c r="A22" s="35" t="s">
        <v>67</v>
      </c>
      <c r="B22" s="44">
        <v>2022</v>
      </c>
      <c r="C22" s="35" t="s">
        <v>195</v>
      </c>
      <c r="D22" s="166">
        <v>23.861000000000001</v>
      </c>
      <c r="E22" s="166">
        <v>10.446</v>
      </c>
      <c r="F22" s="166">
        <v>0.35</v>
      </c>
      <c r="G22" s="166">
        <v>2.8167</v>
      </c>
      <c r="H22" s="166">
        <v>133.02799999999999</v>
      </c>
      <c r="I22" s="166">
        <v>0.45</v>
      </c>
      <c r="J22" s="166">
        <f t="shared" si="0"/>
        <v>170.95169999999999</v>
      </c>
      <c r="K22" s="169"/>
      <c r="L22" s="169"/>
    </row>
    <row r="23" spans="1:12">
      <c r="A23" s="35" t="s">
        <v>67</v>
      </c>
      <c r="B23" s="167">
        <v>2022</v>
      </c>
      <c r="C23" s="43" t="s">
        <v>191</v>
      </c>
      <c r="D23" s="168">
        <v>27.042999999999999</v>
      </c>
      <c r="E23" s="168">
        <v>20.033000000000001</v>
      </c>
      <c r="F23" s="168">
        <v>1.292</v>
      </c>
      <c r="G23" s="168">
        <v>12.375</v>
      </c>
      <c r="H23" s="168">
        <v>351.42700000000002</v>
      </c>
      <c r="I23" s="168">
        <v>2.8969999999999998</v>
      </c>
      <c r="J23" s="168">
        <f t="shared" si="0"/>
        <v>415.06700000000001</v>
      </c>
      <c r="K23" s="169"/>
      <c r="L23" s="170"/>
    </row>
    <row r="25" spans="1:12">
      <c r="A25" t="s">
        <v>335</v>
      </c>
    </row>
    <row r="27" spans="1:12">
      <c r="A27" t="s">
        <v>336</v>
      </c>
      <c r="C27" t="s">
        <v>164</v>
      </c>
    </row>
  </sheetData>
  <mergeCells count="1">
    <mergeCell ref="D1:J1"/>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1C203-1A36-4CB1-AF7E-987D4DB8777C}">
  <sheetPr>
    <tabColor theme="6" tint="0.39997558519241921"/>
  </sheetPr>
  <dimension ref="A1:E37"/>
  <sheetViews>
    <sheetView showGridLines="0" zoomScale="70" zoomScaleNormal="70" workbookViewId="0">
      <pane xSplit="2" ySplit="2" topLeftCell="C3" activePane="bottomRight" state="frozen"/>
      <selection activeCell="A27" sqref="A27"/>
      <selection pane="topRight" activeCell="A27" sqref="A27"/>
      <selection pane="bottomLeft" activeCell="A27" sqref="A27"/>
      <selection pane="bottomRight" activeCell="C1" sqref="C1:E1"/>
    </sheetView>
  </sheetViews>
  <sheetFormatPr defaultRowHeight="14.5"/>
  <cols>
    <col min="1" max="1" width="12.453125" bestFit="1" customWidth="1"/>
    <col min="2" max="2" width="10.453125" bestFit="1" customWidth="1"/>
    <col min="3" max="5" width="14.453125" customWidth="1"/>
  </cols>
  <sheetData>
    <row r="1" spans="1:5" ht="27.65" customHeight="1">
      <c r="C1" s="511" t="s">
        <v>337</v>
      </c>
      <c r="D1" s="511"/>
      <c r="E1" s="511"/>
    </row>
    <row r="2" spans="1:5">
      <c r="A2" s="35" t="s">
        <v>113</v>
      </c>
      <c r="B2" s="35" t="s">
        <v>104</v>
      </c>
      <c r="C2" s="223" t="s">
        <v>244</v>
      </c>
      <c r="D2" s="223" t="s">
        <v>250</v>
      </c>
      <c r="E2" s="223" t="s">
        <v>251</v>
      </c>
    </row>
    <row r="3" spans="1:5">
      <c r="A3" s="35" t="s">
        <v>67</v>
      </c>
      <c r="B3" s="35">
        <v>2000</v>
      </c>
      <c r="C3" s="60">
        <v>73.438829999999996</v>
      </c>
      <c r="D3" s="60">
        <v>59.30621</v>
      </c>
      <c r="E3" s="60">
        <v>86.537300000000002</v>
      </c>
    </row>
    <row r="4" spans="1:5">
      <c r="A4" s="35" t="s">
        <v>67</v>
      </c>
      <c r="B4" s="35">
        <v>2005</v>
      </c>
      <c r="C4" s="60">
        <v>80.671480000000003</v>
      </c>
      <c r="D4" s="60">
        <v>69.475639999999999</v>
      </c>
      <c r="E4" s="60">
        <v>90.783410000000003</v>
      </c>
    </row>
    <row r="5" spans="1:5">
      <c r="A5" s="35" t="s">
        <v>67</v>
      </c>
      <c r="B5" s="35">
        <v>2010</v>
      </c>
      <c r="C5" s="60">
        <v>84.374849999999995</v>
      </c>
      <c r="D5" s="60">
        <v>73.927459999999996</v>
      </c>
      <c r="E5" s="60">
        <v>93.047510000000003</v>
      </c>
    </row>
    <row r="6" spans="1:5">
      <c r="A6" s="35" t="s">
        <v>67</v>
      </c>
      <c r="B6" s="35">
        <v>2015</v>
      </c>
      <c r="C6" s="60">
        <v>86.06908</v>
      </c>
      <c r="D6" s="60">
        <v>76.149519999999995</v>
      </c>
      <c r="E6" s="60">
        <v>93.685190000000006</v>
      </c>
    </row>
    <row r="7" spans="1:5">
      <c r="A7" s="35" t="s">
        <v>67</v>
      </c>
      <c r="B7" s="35">
        <v>2020</v>
      </c>
      <c r="C7" s="60">
        <v>86.490939999999995</v>
      </c>
      <c r="D7" s="60">
        <v>76.954419999999999</v>
      </c>
      <c r="E7" s="60">
        <v>93.526210000000006</v>
      </c>
    </row>
    <row r="8" spans="1:5">
      <c r="A8" s="35" t="s">
        <v>67</v>
      </c>
      <c r="B8" s="35">
        <v>2021</v>
      </c>
      <c r="C8" s="60">
        <v>86.445390000000003</v>
      </c>
      <c r="D8" s="60">
        <v>76.994010000000003</v>
      </c>
      <c r="E8" s="60">
        <v>93.381110000000007</v>
      </c>
    </row>
    <row r="9" spans="1:5">
      <c r="A9" s="35" t="s">
        <v>67</v>
      </c>
      <c r="B9" s="35">
        <v>2022</v>
      </c>
      <c r="C9" s="60">
        <v>86.455740000000006</v>
      </c>
      <c r="D9" s="60">
        <v>77.081010000000006</v>
      </c>
      <c r="E9" s="60">
        <v>93.222499999999997</v>
      </c>
    </row>
    <row r="10" spans="1:5">
      <c r="A10" s="35" t="s">
        <v>144</v>
      </c>
      <c r="B10" s="35">
        <v>2000</v>
      </c>
      <c r="C10" s="60">
        <v>100</v>
      </c>
      <c r="D10" s="60">
        <v>100</v>
      </c>
      <c r="E10" s="60">
        <v>100</v>
      </c>
    </row>
    <row r="11" spans="1:5">
      <c r="A11" s="35" t="s">
        <v>144</v>
      </c>
      <c r="B11" s="35">
        <v>2005</v>
      </c>
      <c r="C11" s="60">
        <v>100</v>
      </c>
      <c r="D11" s="60">
        <v>100</v>
      </c>
      <c r="E11" s="60">
        <v>100</v>
      </c>
    </row>
    <row r="12" spans="1:5">
      <c r="A12" s="35" t="s">
        <v>144</v>
      </c>
      <c r="B12" s="35">
        <v>2010</v>
      </c>
      <c r="C12" s="60">
        <v>100</v>
      </c>
      <c r="D12" s="60">
        <v>100</v>
      </c>
      <c r="E12" s="60">
        <v>100</v>
      </c>
    </row>
    <row r="13" spans="1:5">
      <c r="A13" s="35" t="s">
        <v>144</v>
      </c>
      <c r="B13" s="35">
        <v>2015</v>
      </c>
      <c r="C13" s="60">
        <v>100</v>
      </c>
      <c r="D13" s="60">
        <v>100</v>
      </c>
      <c r="E13" s="60">
        <v>100</v>
      </c>
    </row>
    <row r="14" spans="1:5">
      <c r="A14" s="35" t="s">
        <v>144</v>
      </c>
      <c r="B14" s="35">
        <v>2020</v>
      </c>
      <c r="C14" s="60">
        <v>100</v>
      </c>
      <c r="D14" s="60">
        <v>100</v>
      </c>
      <c r="E14" s="60">
        <v>100</v>
      </c>
    </row>
    <row r="15" spans="1:5">
      <c r="A15" s="35" t="s">
        <v>144</v>
      </c>
      <c r="B15" s="35">
        <v>2021</v>
      </c>
      <c r="C15" s="60">
        <v>100</v>
      </c>
      <c r="D15" s="60">
        <v>100</v>
      </c>
      <c r="E15" s="60">
        <v>100</v>
      </c>
    </row>
    <row r="16" spans="1:5">
      <c r="A16" s="35" t="s">
        <v>144</v>
      </c>
      <c r="B16" s="35">
        <v>2022</v>
      </c>
      <c r="C16" s="60">
        <v>100</v>
      </c>
      <c r="D16" s="60">
        <v>100</v>
      </c>
      <c r="E16" s="60">
        <v>100</v>
      </c>
    </row>
    <row r="17" spans="1:5">
      <c r="A17" s="35" t="s">
        <v>119</v>
      </c>
      <c r="B17" s="35">
        <v>2000</v>
      </c>
      <c r="C17" s="60">
        <v>92.321240000000003</v>
      </c>
      <c r="D17" s="60">
        <v>84.595969999999994</v>
      </c>
      <c r="E17" s="60">
        <v>97.97336</v>
      </c>
    </row>
    <row r="18" spans="1:5">
      <c r="A18" s="35" t="s">
        <v>119</v>
      </c>
      <c r="B18" s="35">
        <v>2005</v>
      </c>
      <c r="C18" s="60">
        <v>95.966729999999998</v>
      </c>
      <c r="D18" s="60">
        <v>91.131870000000006</v>
      </c>
      <c r="E18" s="60">
        <v>99.268929999999997</v>
      </c>
    </row>
    <row r="19" spans="1:5">
      <c r="A19" s="35" t="s">
        <v>119</v>
      </c>
      <c r="B19" s="35">
        <v>2010</v>
      </c>
      <c r="C19" s="60">
        <v>97.825299999999999</v>
      </c>
      <c r="D19" s="60">
        <v>94.822059999999993</v>
      </c>
      <c r="E19" s="60">
        <v>99.551320000000004</v>
      </c>
    </row>
    <row r="20" spans="1:5">
      <c r="A20" s="35" t="s">
        <v>119</v>
      </c>
      <c r="B20" s="35">
        <v>2015</v>
      </c>
      <c r="C20" s="60">
        <v>98.580510000000004</v>
      </c>
      <c r="D20" s="60">
        <v>96.747730000000004</v>
      </c>
      <c r="E20" s="60">
        <v>99.518029999999996</v>
      </c>
    </row>
    <row r="21" spans="1:5">
      <c r="A21" s="35" t="s">
        <v>119</v>
      </c>
      <c r="B21" s="35">
        <v>2020</v>
      </c>
      <c r="C21" s="60">
        <v>98.660600000000002</v>
      </c>
      <c r="D21" s="60">
        <v>97.511709999999994</v>
      </c>
      <c r="E21" s="60">
        <v>99.348789999999994</v>
      </c>
    </row>
    <row r="22" spans="1:5">
      <c r="A22" s="35" t="s">
        <v>119</v>
      </c>
      <c r="B22" s="35">
        <v>2021</v>
      </c>
      <c r="C22" s="60">
        <v>98.623559999999998</v>
      </c>
      <c r="D22" s="60">
        <v>97.626350000000002</v>
      </c>
      <c r="E22" s="60">
        <v>99.298590000000004</v>
      </c>
    </row>
    <row r="23" spans="1:5">
      <c r="A23" s="35" t="s">
        <v>119</v>
      </c>
      <c r="B23" s="35">
        <v>2022</v>
      </c>
      <c r="C23" s="60">
        <v>98.544150000000002</v>
      </c>
      <c r="D23" s="60">
        <v>97.674419999999998</v>
      </c>
      <c r="E23" s="60">
        <v>99.248369999999994</v>
      </c>
    </row>
    <row r="24" spans="1:5">
      <c r="A24" s="35" t="s">
        <v>120</v>
      </c>
      <c r="B24" s="35">
        <v>2000</v>
      </c>
      <c r="C24" s="60">
        <v>81.186059999999998</v>
      </c>
      <c r="D24" s="60">
        <v>72.192670000000007</v>
      </c>
      <c r="E24" s="60">
        <v>89.687889999999996</v>
      </c>
    </row>
    <row r="25" spans="1:5">
      <c r="A25" s="35" t="s">
        <v>120</v>
      </c>
      <c r="B25" s="35">
        <v>2005</v>
      </c>
      <c r="C25" s="60">
        <v>93.974760000000003</v>
      </c>
      <c r="D25" s="60">
        <v>91.531530000000004</v>
      </c>
      <c r="E25" s="60">
        <v>96.228059999999999</v>
      </c>
    </row>
    <row r="26" spans="1:5">
      <c r="A26" s="35" t="s">
        <v>120</v>
      </c>
      <c r="B26" s="35">
        <v>2010</v>
      </c>
      <c r="C26" s="60">
        <v>97.870249999999999</v>
      </c>
      <c r="D26" s="60">
        <v>97.205299999999994</v>
      </c>
      <c r="E26" s="60">
        <v>98.663799999999995</v>
      </c>
    </row>
    <row r="27" spans="1:5">
      <c r="A27" s="35" t="s">
        <v>120</v>
      </c>
      <c r="B27" s="35">
        <v>2015</v>
      </c>
      <c r="C27" s="60">
        <v>98.645150000000001</v>
      </c>
      <c r="D27" s="60">
        <v>98.38091</v>
      </c>
      <c r="E27" s="60">
        <v>99.165980000000005</v>
      </c>
    </row>
    <row r="28" spans="1:5">
      <c r="A28" s="35" t="s">
        <v>120</v>
      </c>
      <c r="B28" s="35">
        <v>2020</v>
      </c>
      <c r="C28" s="60">
        <v>98.40992</v>
      </c>
      <c r="D28" s="60">
        <v>98.430509999999998</v>
      </c>
      <c r="E28" s="60">
        <v>99.105350000000001</v>
      </c>
    </row>
    <row r="29" spans="1:5">
      <c r="A29" s="35" t="s">
        <v>120</v>
      </c>
      <c r="B29" s="35">
        <v>2021</v>
      </c>
      <c r="C29" s="60">
        <v>98.297190000000001</v>
      </c>
      <c r="D29" s="60">
        <v>98.399720000000002</v>
      </c>
      <c r="E29" s="60">
        <v>99.050240000000002</v>
      </c>
    </row>
    <row r="30" spans="1:5">
      <c r="A30" s="35" t="s">
        <v>120</v>
      </c>
      <c r="B30" s="35">
        <v>2022</v>
      </c>
      <c r="C30" s="60">
        <v>98.132869999999997</v>
      </c>
      <c r="D30" s="60">
        <v>98.231819999999999</v>
      </c>
      <c r="E30" s="60">
        <v>98.970709999999997</v>
      </c>
    </row>
    <row r="31" spans="1:5">
      <c r="A31" s="35" t="s">
        <v>121</v>
      </c>
      <c r="B31" s="35">
        <v>2000</v>
      </c>
      <c r="C31" s="60">
        <v>22.043880000000001</v>
      </c>
      <c r="D31" s="60">
        <v>16.99924</v>
      </c>
      <c r="E31" s="60">
        <v>34.762909999999998</v>
      </c>
    </row>
    <row r="32" spans="1:5">
      <c r="A32" s="35" t="s">
        <v>121</v>
      </c>
      <c r="B32" s="35">
        <v>2005</v>
      </c>
      <c r="C32" s="60">
        <v>28.318570000000001</v>
      </c>
      <c r="D32" s="60">
        <v>20.83831</v>
      </c>
      <c r="E32" s="60">
        <v>45.981169999999999</v>
      </c>
    </row>
    <row r="33" spans="1:5">
      <c r="A33" s="35" t="s">
        <v>121</v>
      </c>
      <c r="B33" s="35">
        <v>2010</v>
      </c>
      <c r="C33" s="60">
        <v>36.124229999999997</v>
      </c>
      <c r="D33" s="60">
        <v>26.31391</v>
      </c>
      <c r="E33" s="60">
        <v>55.574730000000002</v>
      </c>
    </row>
    <row r="34" spans="1:5">
      <c r="A34" s="35" t="s">
        <v>121</v>
      </c>
      <c r="B34" s="35">
        <v>2015</v>
      </c>
      <c r="C34" s="60">
        <v>42.752000000000002</v>
      </c>
      <c r="D34" s="60">
        <v>32.127690000000001</v>
      </c>
      <c r="E34" s="60">
        <v>60.919330000000002</v>
      </c>
    </row>
    <row r="35" spans="1:5">
      <c r="A35" s="35" t="s">
        <v>121</v>
      </c>
      <c r="B35" s="35">
        <v>2020</v>
      </c>
      <c r="C35" s="60">
        <v>46.958390000000001</v>
      </c>
      <c r="D35" s="60">
        <v>36.602420000000002</v>
      </c>
      <c r="E35" s="60">
        <v>63.707900000000002</v>
      </c>
    </row>
    <row r="36" spans="1:5">
      <c r="A36" s="35" t="s">
        <v>121</v>
      </c>
      <c r="B36" s="35">
        <v>2021</v>
      </c>
      <c r="C36" s="60">
        <v>47.441339999999997</v>
      </c>
      <c r="D36" s="60">
        <v>37.186169999999997</v>
      </c>
      <c r="E36" s="60">
        <v>64.102170000000001</v>
      </c>
    </row>
    <row r="37" spans="1:5">
      <c r="A37" s="35" t="s">
        <v>121</v>
      </c>
      <c r="B37" s="35">
        <v>2022</v>
      </c>
      <c r="C37" s="60">
        <v>48.289740000000002</v>
      </c>
      <c r="D37" s="60">
        <v>38.030140000000003</v>
      </c>
      <c r="E37" s="60">
        <v>64.455150000000003</v>
      </c>
    </row>
  </sheetData>
  <mergeCells count="1">
    <mergeCell ref="C1:E1"/>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FCC6-026D-4914-A0FF-8EC6C89C05EF}">
  <sheetPr>
    <tabColor theme="0" tint="-0.499984740745262"/>
  </sheetPr>
  <dimension ref="A1:AP26"/>
  <sheetViews>
    <sheetView zoomScale="70" zoomScaleNormal="70" workbookViewId="0">
      <selection activeCell="C1" sqref="C1"/>
    </sheetView>
  </sheetViews>
  <sheetFormatPr defaultRowHeight="14.5"/>
  <cols>
    <col min="1" max="1" width="19" style="240" customWidth="1"/>
    <col min="2" max="3" width="22.81640625" style="240" customWidth="1"/>
    <col min="4" max="42" width="8.81640625" style="240"/>
  </cols>
  <sheetData>
    <row r="1" spans="1:24" ht="97" customHeight="1">
      <c r="A1" s="28" t="s">
        <v>4</v>
      </c>
      <c r="B1" s="356" t="s">
        <v>463</v>
      </c>
      <c r="C1" s="356" t="s">
        <v>464</v>
      </c>
      <c r="D1" s="302"/>
      <c r="E1" s="302"/>
      <c r="F1" s="302"/>
      <c r="G1" s="302"/>
      <c r="H1" s="302"/>
      <c r="I1" s="302"/>
      <c r="J1" s="302"/>
      <c r="K1" s="302"/>
      <c r="L1" s="302"/>
      <c r="M1" s="302"/>
      <c r="N1" s="302"/>
      <c r="O1" s="302"/>
      <c r="P1" s="302"/>
      <c r="Q1" s="302"/>
      <c r="R1" s="302"/>
      <c r="S1" s="302"/>
      <c r="T1" s="302"/>
      <c r="U1" s="302"/>
      <c r="V1" s="302"/>
      <c r="W1" s="302"/>
      <c r="X1" s="302"/>
    </row>
    <row r="2" spans="1:24">
      <c r="A2" s="13" t="s">
        <v>48</v>
      </c>
      <c r="B2" s="303">
        <v>22.73</v>
      </c>
      <c r="C2" s="303">
        <v>100</v>
      </c>
    </row>
    <row r="3" spans="1:24">
      <c r="A3" s="13" t="s">
        <v>43</v>
      </c>
      <c r="B3" s="303">
        <v>34.71</v>
      </c>
      <c r="C3" s="303">
        <v>99.3</v>
      </c>
    </row>
    <row r="4" spans="1:24">
      <c r="A4" s="13" t="s">
        <v>46</v>
      </c>
      <c r="B4" s="303">
        <v>41.52</v>
      </c>
      <c r="C4" s="303"/>
    </row>
    <row r="5" spans="1:24">
      <c r="A5" s="13" t="s">
        <v>45</v>
      </c>
      <c r="B5" s="303">
        <v>44.99</v>
      </c>
      <c r="C5" s="303">
        <v>98.9</v>
      </c>
    </row>
    <row r="6" spans="1:24">
      <c r="A6" s="13" t="s">
        <v>42</v>
      </c>
      <c r="B6" s="303">
        <v>45.38</v>
      </c>
      <c r="C6" s="303">
        <v>99.7</v>
      </c>
    </row>
    <row r="7" spans="1:24">
      <c r="A7" s="13" t="s">
        <v>41</v>
      </c>
      <c r="B7" s="303">
        <v>49.31</v>
      </c>
      <c r="C7" s="303"/>
    </row>
    <row r="8" spans="1:24">
      <c r="A8" s="13" t="s">
        <v>31</v>
      </c>
      <c r="B8" s="303">
        <v>50.32</v>
      </c>
      <c r="C8" s="303">
        <v>100</v>
      </c>
    </row>
    <row r="9" spans="1:24">
      <c r="A9" s="13" t="s">
        <v>37</v>
      </c>
      <c r="B9" s="303">
        <v>59.96</v>
      </c>
      <c r="C9" s="303">
        <v>100</v>
      </c>
    </row>
    <row r="10" spans="1:24">
      <c r="A10" s="13" t="s">
        <v>35</v>
      </c>
      <c r="B10" s="303">
        <v>60.34</v>
      </c>
      <c r="C10" s="303">
        <v>97.5</v>
      </c>
    </row>
    <row r="11" spans="1:24">
      <c r="A11" s="13" t="s">
        <v>32</v>
      </c>
      <c r="B11" s="303">
        <v>75.239999999999995</v>
      </c>
      <c r="C11" s="303">
        <v>99.3</v>
      </c>
    </row>
    <row r="12" spans="1:24">
      <c r="A12" s="13" t="s">
        <v>38</v>
      </c>
      <c r="B12" s="303">
        <v>80.39</v>
      </c>
      <c r="C12" s="303">
        <v>100</v>
      </c>
    </row>
    <row r="13" spans="1:24">
      <c r="A13" s="13" t="s">
        <v>44</v>
      </c>
      <c r="B13" s="303">
        <v>87.68</v>
      </c>
      <c r="C13" s="303">
        <v>91.1</v>
      </c>
    </row>
    <row r="14" spans="1:24">
      <c r="A14" s="13" t="s">
        <v>33</v>
      </c>
      <c r="B14" s="303">
        <v>87.93</v>
      </c>
      <c r="C14" s="303">
        <v>99.9</v>
      </c>
    </row>
    <row r="15" spans="1:24" ht="15" customHeight="1">
      <c r="A15" s="13" t="s">
        <v>49</v>
      </c>
      <c r="B15" s="303">
        <v>94.05</v>
      </c>
      <c r="C15" s="303">
        <v>100</v>
      </c>
    </row>
    <row r="16" spans="1:24">
      <c r="A16" s="13" t="s">
        <v>47</v>
      </c>
      <c r="B16" s="303">
        <v>106.84</v>
      </c>
      <c r="C16" s="303">
        <v>100</v>
      </c>
    </row>
    <row r="17" spans="1:3">
      <c r="A17" s="13" t="s">
        <v>36</v>
      </c>
      <c r="B17" s="303">
        <v>133.1</v>
      </c>
      <c r="C17" s="303">
        <v>20.100000000000001</v>
      </c>
    </row>
    <row r="18" spans="1:3">
      <c r="A18" s="13" t="s">
        <v>105</v>
      </c>
      <c r="B18" s="303">
        <v>135.35</v>
      </c>
      <c r="C18" s="303">
        <v>59.1</v>
      </c>
    </row>
    <row r="19" spans="1:3">
      <c r="A19" s="13" t="s">
        <v>40</v>
      </c>
      <c r="B19" s="303">
        <v>155.16</v>
      </c>
      <c r="C19" s="303">
        <v>5.5</v>
      </c>
    </row>
    <row r="20" spans="1:3">
      <c r="A20" s="13" t="s">
        <v>34</v>
      </c>
      <c r="B20" s="303">
        <v>157.21</v>
      </c>
      <c r="C20" s="303">
        <v>0.2</v>
      </c>
    </row>
    <row r="21" spans="1:3">
      <c r="A21" s="13" t="s">
        <v>52</v>
      </c>
      <c r="B21" s="303">
        <v>166.79</v>
      </c>
      <c r="C21" s="303">
        <v>26.3</v>
      </c>
    </row>
    <row r="22" spans="1:3">
      <c r="A22" s="13" t="s">
        <v>39</v>
      </c>
      <c r="B22" s="303">
        <v>188.59</v>
      </c>
      <c r="C22" s="303">
        <v>0.4</v>
      </c>
    </row>
    <row r="23" spans="1:3">
      <c r="A23" s="15" t="s">
        <v>369</v>
      </c>
      <c r="B23" s="303">
        <v>91</v>
      </c>
      <c r="C23" s="303">
        <v>77.099999999999994</v>
      </c>
    </row>
    <row r="26" spans="1:3">
      <c r="A26" s="357" t="s">
        <v>25</v>
      </c>
      <c r="B26" s="172" t="s">
        <v>614</v>
      </c>
    </row>
  </sheetData>
  <hyperlinks>
    <hyperlink ref="B26" r:id="rId1" display="https://unstats.un.org/sdgs/dataportal" xr:uid="{A0C720C8-4D65-4844-A3A1-AF011AFF3C41}"/>
  </hyperlinks>
  <pageMargins left="0.7" right="0.7" top="0.75" bottom="0.75" header="0.3" footer="0.3"/>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48F3-EC34-48E3-94A0-F601BFD2E71F}">
  <sheetPr>
    <tabColor theme="0" tint="-0.499984740745262"/>
  </sheetPr>
  <dimension ref="A1:AQ29"/>
  <sheetViews>
    <sheetView zoomScale="70" zoomScaleNormal="70" workbookViewId="0">
      <selection activeCell="A24" sqref="A24:A25"/>
    </sheetView>
  </sheetViews>
  <sheetFormatPr defaultRowHeight="14.5"/>
  <cols>
    <col min="1" max="1" width="21" style="240" customWidth="1"/>
    <col min="2" max="3" width="17" style="240" customWidth="1"/>
    <col min="4" max="43" width="8.81640625" style="240"/>
  </cols>
  <sheetData>
    <row r="1" spans="1:3" ht="67.5" customHeight="1">
      <c r="A1" s="28" t="s">
        <v>640</v>
      </c>
      <c r="B1" s="356" t="s">
        <v>461</v>
      </c>
      <c r="C1" s="356" t="s">
        <v>458</v>
      </c>
    </row>
    <row r="2" spans="1:3">
      <c r="A2" s="13" t="s">
        <v>47</v>
      </c>
      <c r="B2" s="303">
        <v>100</v>
      </c>
      <c r="C2" s="303">
        <v>7.6054300000000001</v>
      </c>
    </row>
    <row r="3" spans="1:3">
      <c r="A3" s="13" t="s">
        <v>49</v>
      </c>
      <c r="B3" s="303">
        <v>100</v>
      </c>
      <c r="C3" s="303">
        <v>17.006710000000002</v>
      </c>
    </row>
    <row r="4" spans="1:3">
      <c r="A4" s="13" t="s">
        <v>31</v>
      </c>
      <c r="B4" s="303">
        <v>100</v>
      </c>
      <c r="C4" s="303">
        <v>9.3407</v>
      </c>
    </row>
    <row r="5" spans="1:3">
      <c r="A5" s="13" t="s">
        <v>43</v>
      </c>
      <c r="B5" s="303">
        <v>100</v>
      </c>
      <c r="C5" s="303">
        <v>41.314790000000002</v>
      </c>
    </row>
    <row r="6" spans="1:3">
      <c r="A6" s="13" t="s">
        <v>38</v>
      </c>
      <c r="B6" s="303">
        <v>100</v>
      </c>
      <c r="C6" s="303">
        <v>16.203759999999999</v>
      </c>
    </row>
    <row r="7" spans="1:3">
      <c r="A7" s="13" t="s">
        <v>51</v>
      </c>
      <c r="B7" s="303">
        <v>100</v>
      </c>
      <c r="C7" s="303">
        <v>20.43431</v>
      </c>
    </row>
    <row r="8" spans="1:3">
      <c r="A8" s="13" t="s">
        <v>42</v>
      </c>
      <c r="B8" s="303">
        <v>100</v>
      </c>
      <c r="C8" s="303">
        <v>36.625579999999999</v>
      </c>
    </row>
    <row r="9" spans="1:3">
      <c r="A9" s="13" t="s">
        <v>48</v>
      </c>
      <c r="B9" s="303">
        <v>100</v>
      </c>
      <c r="C9" s="304">
        <v>7.1708999999999996</v>
      </c>
    </row>
    <row r="10" spans="1:3">
      <c r="A10" s="13" t="s">
        <v>37</v>
      </c>
      <c r="B10" s="303">
        <v>100</v>
      </c>
      <c r="C10" s="303">
        <v>15.897880000000001</v>
      </c>
    </row>
    <row r="11" spans="1:3">
      <c r="A11" s="13" t="s">
        <v>46</v>
      </c>
      <c r="B11" s="303">
        <v>100</v>
      </c>
      <c r="C11" s="303">
        <v>20.62462</v>
      </c>
    </row>
    <row r="12" spans="1:3">
      <c r="A12" s="13" t="s">
        <v>33</v>
      </c>
      <c r="B12" s="303">
        <v>100</v>
      </c>
      <c r="C12" s="303">
        <v>16.819710000000001</v>
      </c>
    </row>
    <row r="13" spans="1:3">
      <c r="A13" s="13" t="s">
        <v>32</v>
      </c>
      <c r="B13" s="303">
        <v>100</v>
      </c>
      <c r="C13" s="303">
        <v>76.110460000000003</v>
      </c>
    </row>
    <row r="14" spans="1:3">
      <c r="A14" s="13" t="s">
        <v>35</v>
      </c>
      <c r="B14" s="303">
        <v>100</v>
      </c>
      <c r="C14" s="303">
        <v>71.851849999999999</v>
      </c>
    </row>
    <row r="15" spans="1:3">
      <c r="A15" s="13" t="s">
        <v>45</v>
      </c>
      <c r="B15" s="303">
        <v>99.8</v>
      </c>
      <c r="C15" s="303">
        <v>77.694789999999998</v>
      </c>
    </row>
    <row r="16" spans="1:3">
      <c r="A16" s="13" t="s">
        <v>40</v>
      </c>
      <c r="B16" s="303">
        <v>89.9</v>
      </c>
      <c r="C16" s="303">
        <v>216.95373000000001</v>
      </c>
    </row>
    <row r="17" spans="1:3">
      <c r="A17" s="13" t="s">
        <v>44</v>
      </c>
      <c r="B17" s="303">
        <v>89</v>
      </c>
      <c r="C17" s="303">
        <v>29.91733</v>
      </c>
    </row>
    <row r="18" spans="1:3">
      <c r="A18" s="13" t="s">
        <v>52</v>
      </c>
      <c r="B18" s="303">
        <v>76</v>
      </c>
      <c r="C18" s="303">
        <v>183.39972</v>
      </c>
    </row>
    <row r="19" spans="1:3">
      <c r="A19" s="13" t="s">
        <v>41</v>
      </c>
      <c r="B19" s="303">
        <v>70</v>
      </c>
      <c r="C19" s="303">
        <v>72.127099999999999</v>
      </c>
    </row>
    <row r="20" spans="1:3">
      <c r="A20" s="13" t="s">
        <v>34</v>
      </c>
      <c r="B20" s="303">
        <v>65</v>
      </c>
      <c r="C20" s="303">
        <v>234.49007</v>
      </c>
    </row>
    <row r="21" spans="1:3">
      <c r="A21" s="13" t="s">
        <v>105</v>
      </c>
      <c r="B21" s="303">
        <v>63.2</v>
      </c>
      <c r="C21" s="303">
        <v>270.35534999999999</v>
      </c>
    </row>
    <row r="22" spans="1:3">
      <c r="A22" s="13" t="s">
        <v>36</v>
      </c>
      <c r="B22" s="303">
        <v>49</v>
      </c>
      <c r="C22" s="303">
        <v>463.83210000000003</v>
      </c>
    </row>
    <row r="23" spans="1:3">
      <c r="A23" s="13" t="s">
        <v>39</v>
      </c>
      <c r="B23" s="303">
        <v>48.9</v>
      </c>
      <c r="C23" s="303">
        <v>620.68232</v>
      </c>
    </row>
    <row r="24" spans="1:3">
      <c r="A24" s="15" t="s">
        <v>67</v>
      </c>
      <c r="B24" s="303">
        <v>91</v>
      </c>
      <c r="C24" s="303">
        <v>139.25069999999999</v>
      </c>
    </row>
    <row r="25" spans="1:3">
      <c r="A25" s="15" t="s">
        <v>110</v>
      </c>
      <c r="B25" s="303">
        <v>91.4</v>
      </c>
      <c r="C25" s="303">
        <v>223.5</v>
      </c>
    </row>
    <row r="29" spans="1:3">
      <c r="A29" s="357" t="s">
        <v>25</v>
      </c>
      <c r="B29" s="172" t="s">
        <v>625</v>
      </c>
    </row>
  </sheetData>
  <sortState xmlns:xlrd2="http://schemas.microsoft.com/office/spreadsheetml/2017/richdata2" ref="A2:B23">
    <sortCondition descending="1" ref="B2:B23"/>
  </sortState>
  <hyperlinks>
    <hyperlink ref="B29" r:id="rId1" display="https://unstats.un.org/sdgs/dataportal" xr:uid="{F55BD08E-898B-43E5-9EB8-34F36CDC7203}"/>
  </hyperlinks>
  <pageMargins left="0.7" right="0.7" top="0.75" bottom="0.75" header="0.3" footer="0.3"/>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355D1-12C2-498A-96AF-1A52080FEE3C}">
  <sheetPr codeName="Sheet43">
    <tabColor theme="4" tint="0.39997558519241921"/>
  </sheetPr>
  <dimension ref="A1:O26"/>
  <sheetViews>
    <sheetView showGridLines="0" zoomScale="70" zoomScaleNormal="70" workbookViewId="0">
      <pane xSplit="2" ySplit="3" topLeftCell="C4" activePane="bottomRight" state="frozen"/>
      <selection pane="topRight"/>
      <selection pane="bottomLeft"/>
      <selection pane="bottomRight" activeCell="F13" sqref="F13"/>
    </sheetView>
  </sheetViews>
  <sheetFormatPr defaultRowHeight="14.5"/>
  <cols>
    <col min="1" max="1" width="12.54296875" bestFit="1" customWidth="1"/>
    <col min="2" max="2" width="11" bestFit="1" customWidth="1"/>
    <col min="3" max="5" width="12.54296875" style="41" bestFit="1" customWidth="1"/>
    <col min="6" max="8" width="8.81640625" style="80"/>
    <col min="9" max="9" width="1" customWidth="1"/>
    <col min="10" max="12" width="12.54296875" style="41" bestFit="1" customWidth="1"/>
    <col min="13" max="15" width="8.81640625" style="80"/>
  </cols>
  <sheetData>
    <row r="1" spans="1:15" ht="16">
      <c r="A1" t="s">
        <v>101</v>
      </c>
      <c r="C1" s="512" t="s">
        <v>347</v>
      </c>
      <c r="D1" s="512"/>
      <c r="E1" s="512"/>
      <c r="F1" s="512"/>
      <c r="G1" s="512"/>
      <c r="H1" s="512"/>
      <c r="J1" s="512" t="s">
        <v>348</v>
      </c>
      <c r="K1" s="512"/>
      <c r="L1" s="512"/>
      <c r="M1" s="512"/>
      <c r="N1" s="512"/>
      <c r="O1" s="512"/>
    </row>
    <row r="2" spans="1:15">
      <c r="C2" s="513" t="s">
        <v>102</v>
      </c>
      <c r="D2" s="513"/>
      <c r="E2" s="513"/>
      <c r="F2" s="514" t="s">
        <v>112</v>
      </c>
      <c r="G2" s="514"/>
      <c r="H2" s="514"/>
      <c r="J2" s="513" t="s">
        <v>102</v>
      </c>
      <c r="K2" s="513"/>
      <c r="L2" s="513"/>
      <c r="M2" s="514" t="s">
        <v>112</v>
      </c>
      <c r="N2" s="514"/>
      <c r="O2" s="514"/>
    </row>
    <row r="3" spans="1:15">
      <c r="A3" s="35" t="s">
        <v>113</v>
      </c>
      <c r="B3" s="35" t="s">
        <v>104</v>
      </c>
      <c r="C3" s="178" t="s">
        <v>114</v>
      </c>
      <c r="D3" s="178" t="s">
        <v>115</v>
      </c>
      <c r="E3" s="178" t="s">
        <v>116</v>
      </c>
      <c r="F3" s="179" t="s">
        <v>114</v>
      </c>
      <c r="G3" s="179" t="s">
        <v>115</v>
      </c>
      <c r="H3" s="179" t="s">
        <v>116</v>
      </c>
      <c r="J3" s="178" t="s">
        <v>114</v>
      </c>
      <c r="K3" s="178" t="s">
        <v>115</v>
      </c>
      <c r="L3" s="178" t="s">
        <v>116</v>
      </c>
      <c r="M3" s="179" t="s">
        <v>114</v>
      </c>
      <c r="N3" s="179" t="s">
        <v>115</v>
      </c>
      <c r="O3" s="179" t="s">
        <v>116</v>
      </c>
    </row>
    <row r="4" spans="1:15">
      <c r="A4" s="35" t="s">
        <v>67</v>
      </c>
      <c r="B4" s="35">
        <v>2000</v>
      </c>
      <c r="C4" s="132">
        <v>7861000</v>
      </c>
      <c r="D4" s="132">
        <v>3300500</v>
      </c>
      <c r="E4" s="132">
        <v>4560600</v>
      </c>
      <c r="F4" s="60">
        <v>10.711650000000001</v>
      </c>
      <c r="G4" s="60">
        <v>23.26868</v>
      </c>
      <c r="H4" s="60">
        <v>7.7033129999999996</v>
      </c>
      <c r="J4" s="132">
        <v>28397600</v>
      </c>
      <c r="K4" s="132">
        <v>6617400</v>
      </c>
      <c r="L4" s="132">
        <v>21780200</v>
      </c>
      <c r="M4" s="60">
        <v>38.69547</v>
      </c>
      <c r="N4" s="60">
        <v>46.652990000000003</v>
      </c>
      <c r="O4" s="60">
        <v>36.78895</v>
      </c>
    </row>
    <row r="5" spans="1:15">
      <c r="A5" s="35" t="s">
        <v>67</v>
      </c>
      <c r="B5" s="35">
        <v>2001</v>
      </c>
      <c r="C5" s="132">
        <v>7482100</v>
      </c>
      <c r="D5" s="132">
        <v>2976600</v>
      </c>
      <c r="E5" s="132">
        <v>4505500</v>
      </c>
      <c r="F5" s="60">
        <v>9.9830020000000008</v>
      </c>
      <c r="G5" s="60">
        <v>20.417459999999998</v>
      </c>
      <c r="H5" s="60">
        <v>7.4631809999999996</v>
      </c>
      <c r="J5" s="132">
        <v>28563700</v>
      </c>
      <c r="K5" s="132">
        <v>6430300</v>
      </c>
      <c r="L5" s="132">
        <v>22133400</v>
      </c>
      <c r="M5" s="60">
        <v>38.111150000000002</v>
      </c>
      <c r="N5" s="60">
        <v>44.107500000000002</v>
      </c>
      <c r="O5" s="60">
        <v>36.663089999999997</v>
      </c>
    </row>
    <row r="6" spans="1:15">
      <c r="A6" s="35" t="s">
        <v>67</v>
      </c>
      <c r="B6" s="35">
        <v>2002</v>
      </c>
      <c r="C6" s="132">
        <v>7628400</v>
      </c>
      <c r="D6" s="132">
        <v>2955200</v>
      </c>
      <c r="E6" s="132">
        <v>4673200</v>
      </c>
      <c r="F6" s="60">
        <v>10.01017</v>
      </c>
      <c r="G6" s="60">
        <v>20.45872</v>
      </c>
      <c r="H6" s="60">
        <v>7.5664889999999998</v>
      </c>
      <c r="J6" s="132">
        <v>29033200</v>
      </c>
      <c r="K6" s="132">
        <v>6169500</v>
      </c>
      <c r="L6" s="132">
        <v>22863700</v>
      </c>
      <c r="M6" s="60">
        <v>38.098059999999997</v>
      </c>
      <c r="N6" s="60">
        <v>42.711170000000003</v>
      </c>
      <c r="O6" s="60">
        <v>37.019159999999999</v>
      </c>
    </row>
    <row r="7" spans="1:15">
      <c r="A7" s="35" t="s">
        <v>67</v>
      </c>
      <c r="B7" s="35">
        <v>2003</v>
      </c>
      <c r="C7" s="132">
        <v>8029700</v>
      </c>
      <c r="D7" s="132">
        <v>3249800</v>
      </c>
      <c r="E7" s="132">
        <v>4779900</v>
      </c>
      <c r="F7" s="60">
        <v>10.18962</v>
      </c>
      <c r="G7" s="60">
        <v>21.548680000000001</v>
      </c>
      <c r="H7" s="60">
        <v>7.5012359999999996</v>
      </c>
      <c r="J7" s="132">
        <v>30201900</v>
      </c>
      <c r="K7" s="132">
        <v>6736400</v>
      </c>
      <c r="L7" s="132">
        <v>23465500</v>
      </c>
      <c r="M7" s="60">
        <v>38.325969999999998</v>
      </c>
      <c r="N7" s="60">
        <v>44.667529999999999</v>
      </c>
      <c r="O7" s="60">
        <v>36.825090000000003</v>
      </c>
    </row>
    <row r="8" spans="1:15">
      <c r="A8" s="35" t="s">
        <v>67</v>
      </c>
      <c r="B8" s="35">
        <v>2004</v>
      </c>
      <c r="C8" s="132">
        <v>8719100</v>
      </c>
      <c r="D8" s="132">
        <v>3624600</v>
      </c>
      <c r="E8" s="132">
        <v>5094500</v>
      </c>
      <c r="F8" s="60">
        <v>10.59737</v>
      </c>
      <c r="G8" s="60">
        <v>23.168379999999999</v>
      </c>
      <c r="H8" s="60">
        <v>7.6457829999999998</v>
      </c>
      <c r="J8" s="132">
        <v>31771800</v>
      </c>
      <c r="K8" s="132">
        <v>7244500</v>
      </c>
      <c r="L8" s="132">
        <v>24527300</v>
      </c>
      <c r="M8" s="60">
        <v>38.616070000000001</v>
      </c>
      <c r="N8" s="60">
        <v>46.306710000000002</v>
      </c>
      <c r="O8" s="60">
        <v>36.810369999999999</v>
      </c>
    </row>
    <row r="9" spans="1:15">
      <c r="A9" s="35" t="s">
        <v>67</v>
      </c>
      <c r="B9" s="35">
        <v>2005</v>
      </c>
      <c r="C9" s="132">
        <v>8560900</v>
      </c>
      <c r="D9" s="132">
        <v>3661400</v>
      </c>
      <c r="E9" s="132">
        <v>4899500</v>
      </c>
      <c r="F9" s="60">
        <v>10.03961</v>
      </c>
      <c r="G9" s="60">
        <v>22.35737</v>
      </c>
      <c r="H9" s="60">
        <v>7.1115979999999999</v>
      </c>
      <c r="J9" s="132">
        <v>31841100</v>
      </c>
      <c r="K9" s="132">
        <v>7401000</v>
      </c>
      <c r="L9" s="132">
        <v>24440100</v>
      </c>
      <c r="M9" s="60">
        <v>37.340980000000002</v>
      </c>
      <c r="N9" s="60">
        <v>45.192250000000001</v>
      </c>
      <c r="O9" s="60">
        <v>35.474679999999999</v>
      </c>
    </row>
    <row r="10" spans="1:15">
      <c r="A10" s="35" t="s">
        <v>67</v>
      </c>
      <c r="B10" s="35">
        <v>2006</v>
      </c>
      <c r="C10" s="132">
        <v>8350400</v>
      </c>
      <c r="D10" s="132">
        <v>3813900</v>
      </c>
      <c r="E10" s="132">
        <v>4536500</v>
      </c>
      <c r="F10" s="60">
        <v>9.3563379999999992</v>
      </c>
      <c r="G10" s="60">
        <v>22.11187</v>
      </c>
      <c r="H10" s="60">
        <v>6.3006599999999997</v>
      </c>
      <c r="J10" s="132">
        <v>32000500</v>
      </c>
      <c r="K10" s="132">
        <v>7513300</v>
      </c>
      <c r="L10" s="132">
        <v>24487200</v>
      </c>
      <c r="M10" s="60">
        <v>35.855460000000001</v>
      </c>
      <c r="N10" s="60">
        <v>43.559910000000002</v>
      </c>
      <c r="O10" s="60">
        <v>34.009810000000002</v>
      </c>
    </row>
    <row r="11" spans="1:15">
      <c r="A11" s="35" t="s">
        <v>67</v>
      </c>
      <c r="B11" s="35">
        <v>2007</v>
      </c>
      <c r="C11" s="132">
        <v>8634500</v>
      </c>
      <c r="D11" s="132">
        <v>4072700</v>
      </c>
      <c r="E11" s="132">
        <v>4561900</v>
      </c>
      <c r="F11" s="60">
        <v>9.2477859999999996</v>
      </c>
      <c r="G11" s="60">
        <v>21.95975</v>
      </c>
      <c r="H11" s="60">
        <v>6.0969949999999997</v>
      </c>
      <c r="J11" s="132">
        <v>33763200</v>
      </c>
      <c r="K11" s="132">
        <v>8256000</v>
      </c>
      <c r="L11" s="132">
        <v>25507200</v>
      </c>
      <c r="M11" s="60">
        <v>36.16131</v>
      </c>
      <c r="N11" s="60">
        <v>44.515860000000004</v>
      </c>
      <c r="O11" s="60">
        <v>34.09046</v>
      </c>
    </row>
    <row r="12" spans="1:15">
      <c r="A12" s="35" t="s">
        <v>67</v>
      </c>
      <c r="B12" s="35">
        <v>2008</v>
      </c>
      <c r="C12" s="132">
        <v>8265700</v>
      </c>
      <c r="D12" s="132">
        <v>3872200</v>
      </c>
      <c r="E12" s="132">
        <v>4393500</v>
      </c>
      <c r="F12" s="60">
        <v>8.5407100000000007</v>
      </c>
      <c r="G12" s="60">
        <v>20.63457</v>
      </c>
      <c r="H12" s="60">
        <v>5.631653</v>
      </c>
      <c r="J12" s="132">
        <v>33685700</v>
      </c>
      <c r="K12" s="132">
        <v>8020500</v>
      </c>
      <c r="L12" s="132">
        <v>25665200</v>
      </c>
      <c r="M12" s="60">
        <v>34.806469999999997</v>
      </c>
      <c r="N12" s="60">
        <v>42.74044</v>
      </c>
      <c r="O12" s="60">
        <v>32.898029999999999</v>
      </c>
    </row>
    <row r="13" spans="1:15">
      <c r="A13" s="35" t="s">
        <v>67</v>
      </c>
      <c r="B13" s="35">
        <v>2009</v>
      </c>
      <c r="C13" s="132">
        <v>7999900</v>
      </c>
      <c r="D13" s="132">
        <v>3773700</v>
      </c>
      <c r="E13" s="132">
        <v>4226200</v>
      </c>
      <c r="F13" s="60">
        <v>7.9623809999999997</v>
      </c>
      <c r="G13" s="60">
        <v>19.72269</v>
      </c>
      <c r="H13" s="60">
        <v>5.1958880000000001</v>
      </c>
      <c r="J13" s="132">
        <v>34466500</v>
      </c>
      <c r="K13" s="132">
        <v>8029000</v>
      </c>
      <c r="L13" s="132">
        <v>26437600</v>
      </c>
      <c r="M13" s="60">
        <v>34.304859999999998</v>
      </c>
      <c r="N13" s="60">
        <v>41.962389999999999</v>
      </c>
      <c r="O13" s="60">
        <v>32.503619999999998</v>
      </c>
    </row>
    <row r="14" spans="1:15">
      <c r="A14" s="35" t="s">
        <v>67</v>
      </c>
      <c r="B14" s="35">
        <v>2010</v>
      </c>
      <c r="C14" s="132">
        <v>7836300</v>
      </c>
      <c r="D14" s="132">
        <v>3807500</v>
      </c>
      <c r="E14" s="132">
        <v>4028800</v>
      </c>
      <c r="F14" s="60">
        <v>7.5175479999999997</v>
      </c>
      <c r="G14" s="60">
        <v>19.399000000000001</v>
      </c>
      <c r="H14" s="60">
        <v>4.7614549999999998</v>
      </c>
      <c r="J14" s="132">
        <v>34916900</v>
      </c>
      <c r="K14" s="132">
        <v>8092100</v>
      </c>
      <c r="L14" s="132">
        <v>26824800</v>
      </c>
      <c r="M14" s="60">
        <v>33.496609999999997</v>
      </c>
      <c r="N14" s="60">
        <v>41.2288</v>
      </c>
      <c r="O14" s="60">
        <v>31.702999999999999</v>
      </c>
    </row>
    <row r="15" spans="1:15">
      <c r="A15" s="35" t="s">
        <v>67</v>
      </c>
      <c r="B15" s="35">
        <v>2011</v>
      </c>
      <c r="C15" s="132">
        <v>7745400</v>
      </c>
      <c r="D15" s="132">
        <v>3821100</v>
      </c>
      <c r="E15" s="132">
        <v>3924300</v>
      </c>
      <c r="F15" s="60">
        <v>7.3537119999999998</v>
      </c>
      <c r="G15" s="60">
        <v>19.234660000000002</v>
      </c>
      <c r="H15" s="60">
        <v>4.5919299999999996</v>
      </c>
      <c r="J15" s="132">
        <v>35199600</v>
      </c>
      <c r="K15" s="132">
        <v>7922100</v>
      </c>
      <c r="L15" s="132">
        <v>27277500</v>
      </c>
      <c r="M15" s="60">
        <v>33.419539999999998</v>
      </c>
      <c r="N15" s="60">
        <v>39.878279999999997</v>
      </c>
      <c r="O15" s="60">
        <v>31.918140000000001</v>
      </c>
    </row>
    <row r="16" spans="1:15">
      <c r="A16" s="35" t="s">
        <v>67</v>
      </c>
      <c r="B16" s="35">
        <v>2012</v>
      </c>
      <c r="C16" s="132">
        <v>7336100</v>
      </c>
      <c r="D16" s="132">
        <v>3607700</v>
      </c>
      <c r="E16" s="132">
        <v>3728400</v>
      </c>
      <c r="F16" s="60">
        <v>6.8875999999999999</v>
      </c>
      <c r="G16" s="60">
        <v>17.970120000000001</v>
      </c>
      <c r="H16" s="60">
        <v>4.3135000000000003</v>
      </c>
      <c r="J16" s="132">
        <v>34637400</v>
      </c>
      <c r="K16" s="132">
        <v>7721000</v>
      </c>
      <c r="L16" s="132">
        <v>26916400</v>
      </c>
      <c r="M16" s="60">
        <v>32.51981</v>
      </c>
      <c r="N16" s="60">
        <v>38.458660000000002</v>
      </c>
      <c r="O16" s="60">
        <v>31.140409999999999</v>
      </c>
    </row>
    <row r="17" spans="1:15">
      <c r="A17" s="35" t="s">
        <v>67</v>
      </c>
      <c r="B17" s="35">
        <v>2013</v>
      </c>
      <c r="C17" s="132">
        <v>7864700</v>
      </c>
      <c r="D17" s="132">
        <v>4099700</v>
      </c>
      <c r="E17" s="132">
        <v>3765000</v>
      </c>
      <c r="F17" s="60">
        <v>7.1987509999999997</v>
      </c>
      <c r="G17" s="60">
        <v>19.741129999999998</v>
      </c>
      <c r="H17" s="60">
        <v>4.255026</v>
      </c>
      <c r="J17" s="132">
        <v>35502100</v>
      </c>
      <c r="K17" s="132">
        <v>8136000</v>
      </c>
      <c r="L17" s="132">
        <v>27366100</v>
      </c>
      <c r="M17" s="60">
        <v>32.495930000000001</v>
      </c>
      <c r="N17" s="60">
        <v>39.17698</v>
      </c>
      <c r="O17" s="60">
        <v>30.927879999999998</v>
      </c>
    </row>
    <row r="18" spans="1:15">
      <c r="A18" s="35" t="s">
        <v>67</v>
      </c>
      <c r="B18" s="35">
        <v>2014</v>
      </c>
      <c r="C18" s="132">
        <v>8065500</v>
      </c>
      <c r="D18" s="132">
        <v>4304000</v>
      </c>
      <c r="E18" s="132">
        <v>3761500</v>
      </c>
      <c r="F18" s="60">
        <v>7.2692750000000004</v>
      </c>
      <c r="G18" s="60">
        <v>20.338539999999998</v>
      </c>
      <c r="H18" s="60">
        <v>4.1891449999999999</v>
      </c>
      <c r="J18" s="132">
        <v>35913100</v>
      </c>
      <c r="K18" s="132">
        <v>8318100</v>
      </c>
      <c r="L18" s="132">
        <v>27595000</v>
      </c>
      <c r="M18" s="60">
        <v>32.367759999999997</v>
      </c>
      <c r="N18" s="60">
        <v>39.307139999999997</v>
      </c>
      <c r="O18" s="60">
        <v>30.73227</v>
      </c>
    </row>
    <row r="19" spans="1:15">
      <c r="A19" s="35" t="s">
        <v>67</v>
      </c>
      <c r="B19" s="35">
        <v>2015</v>
      </c>
      <c r="C19" s="132">
        <v>7967400</v>
      </c>
      <c r="D19" s="132">
        <v>4337600</v>
      </c>
      <c r="E19" s="132">
        <v>3629800</v>
      </c>
      <c r="F19" s="60">
        <v>7.095745</v>
      </c>
      <c r="G19" s="60">
        <v>19.95767</v>
      </c>
      <c r="H19" s="60">
        <v>4.0086050000000002</v>
      </c>
      <c r="J19" s="132">
        <v>35434300</v>
      </c>
      <c r="K19" s="132">
        <v>8245900</v>
      </c>
      <c r="L19" s="132">
        <v>27188400</v>
      </c>
      <c r="M19" s="60">
        <v>31.557690000000001</v>
      </c>
      <c r="N19" s="60">
        <v>37.940100000000001</v>
      </c>
      <c r="O19" s="60">
        <v>30.025780000000001</v>
      </c>
    </row>
    <row r="20" spans="1:15">
      <c r="A20" s="35" t="s">
        <v>67</v>
      </c>
      <c r="B20" s="35">
        <v>2016</v>
      </c>
      <c r="C20" s="132">
        <v>6526300</v>
      </c>
      <c r="D20" s="132">
        <v>3360500</v>
      </c>
      <c r="E20" s="132">
        <v>3165800</v>
      </c>
      <c r="F20" s="60">
        <v>5.6720940000000004</v>
      </c>
      <c r="G20" s="60">
        <v>14.97396</v>
      </c>
      <c r="H20" s="60">
        <v>3.4181439999999998</v>
      </c>
      <c r="J20" s="132">
        <v>34097900</v>
      </c>
      <c r="K20" s="132">
        <v>7511200</v>
      </c>
      <c r="L20" s="132">
        <v>26586800</v>
      </c>
      <c r="M20" s="60">
        <v>29.63494</v>
      </c>
      <c r="N20" s="60">
        <v>33.468940000000003</v>
      </c>
      <c r="O20" s="60">
        <v>28.706019999999999</v>
      </c>
    </row>
    <row r="21" spans="1:15">
      <c r="A21" s="35" t="s">
        <v>67</v>
      </c>
      <c r="B21" s="35">
        <v>2017</v>
      </c>
      <c r="C21" s="132">
        <v>6234800</v>
      </c>
      <c r="D21" s="132">
        <v>3182400</v>
      </c>
      <c r="E21" s="132">
        <v>3052400</v>
      </c>
      <c r="F21" s="60">
        <v>5.4056579999999999</v>
      </c>
      <c r="G21" s="60">
        <v>14.50409</v>
      </c>
      <c r="H21" s="60">
        <v>3.2681960000000001</v>
      </c>
      <c r="J21" s="132">
        <v>34260000</v>
      </c>
      <c r="K21" s="132">
        <v>7337100</v>
      </c>
      <c r="L21" s="132">
        <v>26922900</v>
      </c>
      <c r="M21" s="60">
        <v>29.703900000000001</v>
      </c>
      <c r="N21" s="60">
        <v>33.439529999999998</v>
      </c>
      <c r="O21" s="60">
        <v>28.826270000000001</v>
      </c>
    </row>
    <row r="22" spans="1:15">
      <c r="A22" s="35" t="s">
        <v>67</v>
      </c>
      <c r="B22" s="35">
        <v>2018</v>
      </c>
      <c r="C22" s="132">
        <v>6056100</v>
      </c>
      <c r="D22" s="132">
        <v>2996500</v>
      </c>
      <c r="E22" s="132">
        <v>3059600</v>
      </c>
      <c r="F22" s="60">
        <v>5.1486200000000002</v>
      </c>
      <c r="G22" s="60">
        <v>13.823410000000001</v>
      </c>
      <c r="H22" s="60">
        <v>3.188787</v>
      </c>
      <c r="J22" s="132">
        <v>34986800</v>
      </c>
      <c r="K22" s="132">
        <v>7181400</v>
      </c>
      <c r="L22" s="132">
        <v>27805400</v>
      </c>
      <c r="M22" s="60">
        <v>29.74418</v>
      </c>
      <c r="N22" s="60">
        <v>33.12912</v>
      </c>
      <c r="O22" s="60">
        <v>28.97944</v>
      </c>
    </row>
    <row r="23" spans="1:15">
      <c r="A23" s="35" t="s">
        <v>67</v>
      </c>
      <c r="B23" s="35">
        <v>2019</v>
      </c>
      <c r="C23" s="132">
        <v>5765300</v>
      </c>
      <c r="D23" s="132">
        <v>2733900</v>
      </c>
      <c r="E23" s="132">
        <v>3031400</v>
      </c>
      <c r="F23" s="60">
        <v>4.7813309999999998</v>
      </c>
      <c r="G23" s="60">
        <v>12.616350000000001</v>
      </c>
      <c r="H23" s="60">
        <v>3.06481</v>
      </c>
      <c r="J23" s="132">
        <v>35507000</v>
      </c>
      <c r="K23" s="132">
        <v>6954400</v>
      </c>
      <c r="L23" s="132">
        <v>28552500</v>
      </c>
      <c r="M23" s="60">
        <v>29.44699</v>
      </c>
      <c r="N23" s="60">
        <v>32.093029999999999</v>
      </c>
      <c r="O23" s="60">
        <v>28.867180000000001</v>
      </c>
    </row>
    <row r="24" spans="1:15">
      <c r="A24" s="35" t="s">
        <v>67</v>
      </c>
      <c r="B24" s="35">
        <v>2020</v>
      </c>
      <c r="C24" s="132">
        <v>5382200</v>
      </c>
      <c r="D24" s="132">
        <v>2516300</v>
      </c>
      <c r="E24" s="132">
        <v>2865900</v>
      </c>
      <c r="F24" s="60">
        <v>4.5468789999999997</v>
      </c>
      <c r="G24" s="60">
        <v>11.65634</v>
      </c>
      <c r="H24" s="60">
        <v>2.9611329999999998</v>
      </c>
      <c r="J24" s="132">
        <v>34683600</v>
      </c>
      <c r="K24" s="132">
        <v>6796500</v>
      </c>
      <c r="L24" s="132">
        <v>27887100</v>
      </c>
      <c r="M24" s="60">
        <v>29.30068</v>
      </c>
      <c r="N24" s="60">
        <v>31.483640000000001</v>
      </c>
      <c r="O24" s="60">
        <v>28.813780000000001</v>
      </c>
    </row>
    <row r="25" spans="1:15">
      <c r="A25" s="35" t="s">
        <v>67</v>
      </c>
      <c r="B25" s="35">
        <v>2021</v>
      </c>
      <c r="C25" s="132">
        <v>5458000</v>
      </c>
      <c r="D25" s="132">
        <v>2605100</v>
      </c>
      <c r="E25" s="132">
        <v>2853000</v>
      </c>
      <c r="F25" s="60">
        <v>4.4631400000000001</v>
      </c>
      <c r="G25" s="60">
        <v>11.3606</v>
      </c>
      <c r="H25" s="60">
        <v>2.8713880000000001</v>
      </c>
      <c r="J25" s="132">
        <v>35970400</v>
      </c>
      <c r="K25" s="132">
        <v>7187600</v>
      </c>
      <c r="L25" s="132">
        <v>28782800</v>
      </c>
      <c r="M25" s="60">
        <v>29.413869999999999</v>
      </c>
      <c r="N25" s="60">
        <v>31.344470000000001</v>
      </c>
      <c r="O25" s="60">
        <v>28.968309999999999</v>
      </c>
    </row>
    <row r="26" spans="1:15">
      <c r="A26" s="35" t="s">
        <v>67</v>
      </c>
      <c r="B26" s="35">
        <v>2022</v>
      </c>
      <c r="C26" s="132">
        <v>5500700</v>
      </c>
      <c r="D26" s="132">
        <v>2623500</v>
      </c>
      <c r="E26" s="132">
        <v>2877200</v>
      </c>
      <c r="F26" s="60">
        <v>4.2919660000000004</v>
      </c>
      <c r="G26" s="60">
        <v>10.907209999999999</v>
      </c>
      <c r="H26" s="60">
        <v>2.7636180000000001</v>
      </c>
      <c r="J26" s="132">
        <v>37579300</v>
      </c>
      <c r="K26" s="132">
        <v>7363600</v>
      </c>
      <c r="L26" s="132">
        <v>30215700</v>
      </c>
      <c r="M26" s="60">
        <v>29.321560000000002</v>
      </c>
      <c r="N26" s="60">
        <v>30.614190000000001</v>
      </c>
      <c r="O26" s="60">
        <v>29.02289</v>
      </c>
    </row>
  </sheetData>
  <mergeCells count="6">
    <mergeCell ref="C1:H1"/>
    <mergeCell ref="J1:O1"/>
    <mergeCell ref="C2:E2"/>
    <mergeCell ref="F2:H2"/>
    <mergeCell ref="J2:L2"/>
    <mergeCell ref="M2:O2"/>
  </mergeCell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715F3-CDAF-4D1C-90D4-9139FDA92782}">
  <sheetPr codeName="Sheet44">
    <tabColor theme="6" tint="0.39997558519241921"/>
  </sheetPr>
  <dimension ref="A1:H28"/>
  <sheetViews>
    <sheetView showGridLines="0" zoomScale="70" zoomScaleNormal="70" workbookViewId="0">
      <pane xSplit="1" ySplit="3" topLeftCell="B4" activePane="bottomRight" state="frozen"/>
      <selection pane="topRight"/>
      <selection pane="bottomLeft"/>
      <selection pane="bottomRight" sqref="A1:H8"/>
    </sheetView>
  </sheetViews>
  <sheetFormatPr defaultRowHeight="14.5"/>
  <cols>
    <col min="1" max="1" width="24.54296875" customWidth="1"/>
    <col min="2" max="2" width="11" style="53" bestFit="1" customWidth="1"/>
    <col min="3" max="5" width="14.453125" style="41" customWidth="1"/>
    <col min="6" max="8" width="14.453125" customWidth="1"/>
  </cols>
  <sheetData>
    <row r="1" spans="1:8" ht="16">
      <c r="A1" t="s">
        <v>101</v>
      </c>
      <c r="C1" s="515" t="s">
        <v>349</v>
      </c>
      <c r="D1" s="515"/>
      <c r="E1" s="515"/>
      <c r="F1" s="515"/>
      <c r="G1" s="515"/>
      <c r="H1" s="515"/>
    </row>
    <row r="2" spans="1:8">
      <c r="C2" s="513" t="s">
        <v>102</v>
      </c>
      <c r="D2" s="513"/>
      <c r="E2" s="513"/>
      <c r="F2" s="516" t="s">
        <v>112</v>
      </c>
      <c r="G2" s="516"/>
      <c r="H2" s="516"/>
    </row>
    <row r="3" spans="1:8">
      <c r="A3" s="35" t="s">
        <v>113</v>
      </c>
      <c r="B3" s="44" t="s">
        <v>104</v>
      </c>
      <c r="C3" s="177" t="s">
        <v>114</v>
      </c>
      <c r="D3" s="177" t="s">
        <v>115</v>
      </c>
      <c r="E3" s="177" t="s">
        <v>116</v>
      </c>
      <c r="F3" s="180" t="s">
        <v>114</v>
      </c>
      <c r="G3" s="180" t="s">
        <v>115</v>
      </c>
      <c r="H3" s="180" t="s">
        <v>116</v>
      </c>
    </row>
    <row r="4" spans="1:8">
      <c r="A4" s="38" t="s">
        <v>67</v>
      </c>
      <c r="B4" s="46">
        <v>2005</v>
      </c>
      <c r="C4" s="55">
        <v>50421168</v>
      </c>
      <c r="D4" s="55">
        <v>9721085</v>
      </c>
      <c r="E4" s="55">
        <v>40700084</v>
      </c>
      <c r="F4" s="108">
        <v>59.13</v>
      </c>
      <c r="G4" s="108">
        <v>59.36</v>
      </c>
      <c r="H4" s="108">
        <v>59.08</v>
      </c>
    </row>
    <row r="5" spans="1:8">
      <c r="A5" s="38" t="s">
        <v>67</v>
      </c>
      <c r="B5" s="46">
        <v>2010</v>
      </c>
      <c r="C5" s="55">
        <v>59287200</v>
      </c>
      <c r="D5" s="55">
        <v>10957374</v>
      </c>
      <c r="E5" s="55">
        <v>48329824</v>
      </c>
      <c r="F5" s="108">
        <v>56.88</v>
      </c>
      <c r="G5" s="108">
        <v>55.83</v>
      </c>
      <c r="H5" s="108">
        <v>57.12</v>
      </c>
    </row>
    <row r="6" spans="1:8">
      <c r="A6" s="38" t="s">
        <v>67</v>
      </c>
      <c r="B6" s="46">
        <v>2015</v>
      </c>
      <c r="C6" s="55">
        <v>62851296</v>
      </c>
      <c r="D6" s="55">
        <v>11775717</v>
      </c>
      <c r="E6" s="55">
        <v>51075580</v>
      </c>
      <c r="F6" s="108">
        <v>55.98</v>
      </c>
      <c r="G6" s="108">
        <v>54.18</v>
      </c>
      <c r="H6" s="108">
        <v>56.41</v>
      </c>
    </row>
    <row r="7" spans="1:8">
      <c r="A7" s="38" t="s">
        <v>67</v>
      </c>
      <c r="B7" s="46">
        <v>2020</v>
      </c>
      <c r="C7" s="55">
        <v>70004464</v>
      </c>
      <c r="D7" s="55">
        <v>11014174</v>
      </c>
      <c r="E7" s="55">
        <v>58990284</v>
      </c>
      <c r="F7" s="108">
        <v>59.14</v>
      </c>
      <c r="G7" s="108">
        <v>51.02</v>
      </c>
      <c r="H7" s="108">
        <v>60.95</v>
      </c>
    </row>
    <row r="8" spans="1:8">
      <c r="A8" s="38" t="s">
        <v>67</v>
      </c>
      <c r="B8" s="46">
        <v>2023</v>
      </c>
      <c r="C8" s="55">
        <v>76459432</v>
      </c>
      <c r="D8" s="55">
        <v>12414962</v>
      </c>
      <c r="E8" s="55">
        <v>64044464</v>
      </c>
      <c r="F8" s="108">
        <v>58.32</v>
      </c>
      <c r="G8" s="108">
        <v>50.26</v>
      </c>
      <c r="H8" s="108">
        <v>60.2</v>
      </c>
    </row>
    <row r="9" spans="1:8">
      <c r="A9" s="38" t="s">
        <v>144</v>
      </c>
      <c r="B9" s="46">
        <v>2005</v>
      </c>
      <c r="C9" s="55">
        <v>4753170</v>
      </c>
      <c r="D9" s="55">
        <v>582085</v>
      </c>
      <c r="E9" s="55">
        <v>4171085</v>
      </c>
      <c r="F9" s="108">
        <v>34.78</v>
      </c>
      <c r="G9" s="108">
        <v>30.01</v>
      </c>
      <c r="H9" s="108">
        <v>35.57</v>
      </c>
    </row>
    <row r="10" spans="1:8">
      <c r="A10" s="38" t="s">
        <v>144</v>
      </c>
      <c r="B10" s="46">
        <v>2010</v>
      </c>
      <c r="C10" s="55">
        <v>7639410</v>
      </c>
      <c r="D10" s="55">
        <v>941142</v>
      </c>
      <c r="E10" s="55">
        <v>6698267</v>
      </c>
      <c r="F10" s="108">
        <v>36.97</v>
      </c>
      <c r="G10" s="108">
        <v>32.090000000000003</v>
      </c>
      <c r="H10" s="108">
        <v>37.78</v>
      </c>
    </row>
    <row r="11" spans="1:8">
      <c r="A11" s="38" t="s">
        <v>144</v>
      </c>
      <c r="B11" s="46">
        <v>2015</v>
      </c>
      <c r="C11" s="55">
        <v>8851930</v>
      </c>
      <c r="D11" s="55">
        <v>1178099</v>
      </c>
      <c r="E11" s="55">
        <v>7673831</v>
      </c>
      <c r="F11" s="108">
        <v>34.479999999999997</v>
      </c>
      <c r="G11" s="108">
        <v>30.98</v>
      </c>
      <c r="H11" s="108">
        <v>35.090000000000003</v>
      </c>
    </row>
    <row r="12" spans="1:8">
      <c r="A12" s="38" t="s">
        <v>144</v>
      </c>
      <c r="B12" s="46">
        <v>2020</v>
      </c>
      <c r="C12" s="55">
        <v>10031234</v>
      </c>
      <c r="D12" s="55">
        <v>1639269</v>
      </c>
      <c r="E12" s="55">
        <v>8391965</v>
      </c>
      <c r="F12" s="108">
        <v>35.36</v>
      </c>
      <c r="G12" s="108">
        <v>32.64</v>
      </c>
      <c r="H12" s="108">
        <v>35.94</v>
      </c>
    </row>
    <row r="13" spans="1:8">
      <c r="A13" s="38" t="s">
        <v>144</v>
      </c>
      <c r="B13" s="46">
        <v>2023</v>
      </c>
      <c r="C13" s="55">
        <v>10665353</v>
      </c>
      <c r="D13" s="55">
        <v>1870331</v>
      </c>
      <c r="E13" s="55">
        <v>8795021</v>
      </c>
      <c r="F13" s="108">
        <v>35.4</v>
      </c>
      <c r="G13" s="108">
        <v>31.78</v>
      </c>
      <c r="H13" s="108">
        <v>36.28</v>
      </c>
    </row>
    <row r="14" spans="1:8">
      <c r="A14" s="38" t="s">
        <v>119</v>
      </c>
      <c r="B14" s="46">
        <v>2005</v>
      </c>
      <c r="C14" s="55">
        <v>12887239</v>
      </c>
      <c r="D14" s="55">
        <v>2798573</v>
      </c>
      <c r="E14" s="55">
        <v>10088666</v>
      </c>
      <c r="F14" s="108">
        <v>57.37</v>
      </c>
      <c r="G14" s="108">
        <v>56.92</v>
      </c>
      <c r="H14" s="108">
        <v>57.5</v>
      </c>
    </row>
    <row r="15" spans="1:8">
      <c r="A15" s="38" t="s">
        <v>119</v>
      </c>
      <c r="B15" s="46">
        <v>2010</v>
      </c>
      <c r="C15" s="55">
        <v>13531473</v>
      </c>
      <c r="D15" s="55">
        <v>2923775</v>
      </c>
      <c r="E15" s="55">
        <v>10607698</v>
      </c>
      <c r="F15" s="108">
        <v>53.48</v>
      </c>
      <c r="G15" s="108">
        <v>52.66</v>
      </c>
      <c r="H15" s="108">
        <v>53.7</v>
      </c>
    </row>
    <row r="16" spans="1:8">
      <c r="A16" s="38" t="s">
        <v>119</v>
      </c>
      <c r="B16" s="46">
        <v>2015</v>
      </c>
      <c r="C16" s="55">
        <v>13474120</v>
      </c>
      <c r="D16" s="55">
        <v>3014548</v>
      </c>
      <c r="E16" s="55">
        <v>10459572</v>
      </c>
      <c r="F16" s="108">
        <v>51.33</v>
      </c>
      <c r="G16" s="108">
        <v>50.03</v>
      </c>
      <c r="H16" s="108">
        <v>51.72</v>
      </c>
    </row>
    <row r="17" spans="1:8">
      <c r="A17" s="38" t="s">
        <v>119</v>
      </c>
      <c r="B17" s="46">
        <v>2020</v>
      </c>
      <c r="C17" s="55">
        <v>13250324</v>
      </c>
      <c r="D17" s="55">
        <v>2601881</v>
      </c>
      <c r="E17" s="55">
        <v>10648443</v>
      </c>
      <c r="F17" s="108">
        <v>51.31</v>
      </c>
      <c r="G17" s="108">
        <v>46.39</v>
      </c>
      <c r="H17" s="108">
        <v>52.67</v>
      </c>
    </row>
    <row r="18" spans="1:8">
      <c r="A18" s="38" t="s">
        <v>119</v>
      </c>
      <c r="B18" s="46">
        <v>2023</v>
      </c>
      <c r="C18" s="55">
        <v>14501872</v>
      </c>
      <c r="D18" s="55">
        <v>2819141</v>
      </c>
      <c r="E18" s="55">
        <v>11682731</v>
      </c>
      <c r="F18" s="108">
        <v>50.93</v>
      </c>
      <c r="G18" s="108">
        <v>46.12</v>
      </c>
      <c r="H18" s="108">
        <v>52.24</v>
      </c>
    </row>
    <row r="19" spans="1:8">
      <c r="A19" s="38" t="s">
        <v>120</v>
      </c>
      <c r="B19" s="46">
        <v>2005</v>
      </c>
      <c r="C19" s="55">
        <v>21202598</v>
      </c>
      <c r="D19" s="55">
        <v>3447976</v>
      </c>
      <c r="E19" s="55">
        <v>17754622</v>
      </c>
      <c r="F19" s="108">
        <v>59.84</v>
      </c>
      <c r="G19" s="108">
        <v>55.93</v>
      </c>
      <c r="H19" s="108">
        <v>60.66</v>
      </c>
    </row>
    <row r="20" spans="1:8">
      <c r="A20" s="38" t="s">
        <v>120</v>
      </c>
      <c r="B20" s="46">
        <v>2010</v>
      </c>
      <c r="C20" s="55">
        <v>24937198</v>
      </c>
      <c r="D20" s="55">
        <v>4177801</v>
      </c>
      <c r="E20" s="55">
        <v>20759396</v>
      </c>
      <c r="F20" s="108">
        <v>58.66</v>
      </c>
      <c r="G20" s="108">
        <v>54.14</v>
      </c>
      <c r="H20" s="108">
        <v>59.66</v>
      </c>
    </row>
    <row r="21" spans="1:8">
      <c r="A21" s="38" t="s">
        <v>120</v>
      </c>
      <c r="B21" s="46">
        <v>2015</v>
      </c>
      <c r="C21" s="55">
        <v>26495694</v>
      </c>
      <c r="D21" s="55">
        <v>4603363</v>
      </c>
      <c r="E21" s="55">
        <v>21892328</v>
      </c>
      <c r="F21" s="108">
        <v>60.38</v>
      </c>
      <c r="G21" s="108">
        <v>54.83</v>
      </c>
      <c r="H21" s="108">
        <v>61.7</v>
      </c>
    </row>
    <row r="22" spans="1:8">
      <c r="A22" s="38" t="s">
        <v>120</v>
      </c>
      <c r="B22" s="46">
        <v>2020</v>
      </c>
      <c r="C22" s="55">
        <v>30156220</v>
      </c>
      <c r="D22" s="55">
        <v>3415863</v>
      </c>
      <c r="E22" s="55">
        <v>26740358</v>
      </c>
      <c r="F22" s="108">
        <v>66.63</v>
      </c>
      <c r="G22" s="108">
        <v>48.97</v>
      </c>
      <c r="H22" s="108">
        <v>69.849999999999994</v>
      </c>
    </row>
    <row r="23" spans="1:8">
      <c r="A23" s="38" t="s">
        <v>120</v>
      </c>
      <c r="B23" s="46">
        <v>2023</v>
      </c>
      <c r="C23" s="55">
        <v>33354914</v>
      </c>
      <c r="D23" s="55">
        <v>4083946</v>
      </c>
      <c r="E23" s="55">
        <v>29270966</v>
      </c>
      <c r="F23" s="108">
        <v>64.209999999999994</v>
      </c>
      <c r="G23" s="108">
        <v>48.32</v>
      </c>
      <c r="H23" s="108">
        <v>67.3</v>
      </c>
    </row>
    <row r="24" spans="1:8">
      <c r="A24" s="38" t="s">
        <v>121</v>
      </c>
      <c r="B24" s="46">
        <v>2005</v>
      </c>
      <c r="C24" s="55">
        <v>11578163</v>
      </c>
      <c r="D24" s="55">
        <v>2892451</v>
      </c>
      <c r="E24" s="55">
        <v>8685712</v>
      </c>
      <c r="F24" s="108">
        <v>84.44</v>
      </c>
      <c r="G24" s="108">
        <v>86.19</v>
      </c>
      <c r="H24" s="108">
        <v>83.87</v>
      </c>
    </row>
    <row r="25" spans="1:8">
      <c r="A25" s="38" t="s">
        <v>121</v>
      </c>
      <c r="B25" s="46">
        <v>2010</v>
      </c>
      <c r="C25" s="55">
        <v>13179118</v>
      </c>
      <c r="D25" s="55">
        <v>2914655</v>
      </c>
      <c r="E25" s="55">
        <v>10264463</v>
      </c>
      <c r="F25" s="108">
        <v>83.61</v>
      </c>
      <c r="G25" s="108">
        <v>85.09</v>
      </c>
      <c r="H25" s="108">
        <v>83.2</v>
      </c>
    </row>
    <row r="26" spans="1:8">
      <c r="A26" s="38" t="s">
        <v>121</v>
      </c>
      <c r="B26" s="46">
        <v>2015</v>
      </c>
      <c r="C26" s="55">
        <v>14029554</v>
      </c>
      <c r="D26" s="55">
        <v>2979707</v>
      </c>
      <c r="E26" s="55">
        <v>11049847</v>
      </c>
      <c r="F26" s="108">
        <v>85.1</v>
      </c>
      <c r="G26" s="108">
        <v>84.89</v>
      </c>
      <c r="H26" s="108">
        <v>85.16</v>
      </c>
    </row>
    <row r="27" spans="1:8">
      <c r="A27" s="38" t="s">
        <v>121</v>
      </c>
      <c r="B27" s="46">
        <v>2020</v>
      </c>
      <c r="C27" s="55">
        <v>16566682</v>
      </c>
      <c r="D27" s="55">
        <v>3357161</v>
      </c>
      <c r="E27" s="55">
        <v>13209521</v>
      </c>
      <c r="F27" s="108">
        <v>87.58</v>
      </c>
      <c r="G27" s="108">
        <v>84.35</v>
      </c>
      <c r="H27" s="108">
        <v>88.44</v>
      </c>
    </row>
    <row r="28" spans="1:8">
      <c r="A28" s="38" t="s">
        <v>121</v>
      </c>
      <c r="B28" s="46">
        <v>2023</v>
      </c>
      <c r="C28" s="55">
        <v>17937290</v>
      </c>
      <c r="D28" s="55">
        <v>3641543</v>
      </c>
      <c r="E28" s="55">
        <v>14295747</v>
      </c>
      <c r="F28" s="108">
        <v>87.29</v>
      </c>
      <c r="G28" s="108">
        <v>85.6</v>
      </c>
      <c r="H28" s="108">
        <v>87.74</v>
      </c>
    </row>
  </sheetData>
  <mergeCells count="3">
    <mergeCell ref="C1:H1"/>
    <mergeCell ref="C2:E2"/>
    <mergeCell ref="F2:H2"/>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04774-12EC-4E55-B63A-18ED430A56D3}">
  <sheetPr codeName="Sheet45">
    <tabColor theme="6" tint="0.39997558519241921"/>
  </sheetPr>
  <dimension ref="A1:I93"/>
  <sheetViews>
    <sheetView showGridLines="0" zoomScale="70" zoomScaleNormal="70" workbookViewId="0">
      <pane xSplit="1" ySplit="3" topLeftCell="B4" activePane="bottomRight" state="frozen"/>
      <selection pane="topRight"/>
      <selection pane="bottomLeft"/>
      <selection pane="bottomRight" activeCell="D1" sqref="D1:I1"/>
    </sheetView>
  </sheetViews>
  <sheetFormatPr defaultRowHeight="14.5"/>
  <cols>
    <col min="1" max="1" width="15" bestFit="1" customWidth="1"/>
    <col min="3" max="3" width="10.453125" bestFit="1" customWidth="1"/>
    <col min="4" max="6" width="14.453125" style="41" customWidth="1"/>
    <col min="7" max="9" width="14.453125" customWidth="1"/>
  </cols>
  <sheetData>
    <row r="1" spans="1:9" ht="16">
      <c r="A1" t="s">
        <v>101</v>
      </c>
      <c r="D1" s="515" t="s">
        <v>350</v>
      </c>
      <c r="E1" s="515"/>
      <c r="F1" s="515"/>
      <c r="G1" s="515"/>
      <c r="H1" s="515"/>
      <c r="I1" s="515"/>
    </row>
    <row r="2" spans="1:9">
      <c r="D2" s="513" t="s">
        <v>102</v>
      </c>
      <c r="E2" s="513"/>
      <c r="F2" s="513"/>
      <c r="G2" s="517" t="s">
        <v>112</v>
      </c>
      <c r="H2" s="517"/>
      <c r="I2" s="517"/>
    </row>
    <row r="3" spans="1:9">
      <c r="A3" s="35" t="s">
        <v>113</v>
      </c>
      <c r="B3" s="35" t="s">
        <v>149</v>
      </c>
      <c r="C3" s="44" t="s">
        <v>104</v>
      </c>
      <c r="D3" s="177" t="s">
        <v>114</v>
      </c>
      <c r="E3" s="177" t="s">
        <v>115</v>
      </c>
      <c r="F3" s="177" t="s">
        <v>116</v>
      </c>
      <c r="G3" s="181" t="s">
        <v>114</v>
      </c>
      <c r="H3" s="181" t="s">
        <v>115</v>
      </c>
      <c r="I3" s="181" t="s">
        <v>116</v>
      </c>
    </row>
    <row r="4" spans="1:9">
      <c r="A4" s="38" t="s">
        <v>67</v>
      </c>
      <c r="B4" s="38" t="s">
        <v>150</v>
      </c>
      <c r="C4" s="46">
        <v>2000</v>
      </c>
      <c r="D4" s="55">
        <v>10333574</v>
      </c>
      <c r="E4" s="55">
        <v>3081696</v>
      </c>
      <c r="F4" s="55">
        <v>7251877</v>
      </c>
      <c r="G4" s="182">
        <v>12.35</v>
      </c>
      <c r="H4" s="182">
        <v>17.850000000000001</v>
      </c>
      <c r="I4" s="182">
        <v>10.92</v>
      </c>
    </row>
    <row r="5" spans="1:9">
      <c r="A5" s="38" t="s">
        <v>67</v>
      </c>
      <c r="B5" s="38" t="s">
        <v>150</v>
      </c>
      <c r="C5" s="46">
        <v>2005</v>
      </c>
      <c r="D5" s="55">
        <v>10613983</v>
      </c>
      <c r="E5" s="55">
        <v>3554067</v>
      </c>
      <c r="F5" s="55">
        <v>7059915</v>
      </c>
      <c r="G5" s="182">
        <v>11.06</v>
      </c>
      <c r="H5" s="182">
        <v>17.829999999999998</v>
      </c>
      <c r="I5" s="182">
        <v>9.2899999999999991</v>
      </c>
    </row>
    <row r="6" spans="1:9">
      <c r="A6" s="38" t="s">
        <v>67</v>
      </c>
      <c r="B6" s="38" t="s">
        <v>150</v>
      </c>
      <c r="C6" s="46">
        <v>2010</v>
      </c>
      <c r="D6" s="55">
        <v>10811823</v>
      </c>
      <c r="E6" s="55">
        <v>4423438</v>
      </c>
      <c r="F6" s="55">
        <v>6388385</v>
      </c>
      <c r="G6" s="182">
        <v>9.39</v>
      </c>
      <c r="H6" s="182">
        <v>18.38</v>
      </c>
      <c r="I6" s="182">
        <v>7.01</v>
      </c>
    </row>
    <row r="7" spans="1:9">
      <c r="A7" s="38" t="s">
        <v>67</v>
      </c>
      <c r="B7" s="38" t="s">
        <v>150</v>
      </c>
      <c r="C7" s="46">
        <v>2015</v>
      </c>
      <c r="D7" s="55">
        <v>14018764</v>
      </c>
      <c r="E7" s="55">
        <v>5517658</v>
      </c>
      <c r="F7" s="55">
        <v>8501106</v>
      </c>
      <c r="G7" s="182">
        <v>11.29</v>
      </c>
      <c r="H7" s="182">
        <v>20.67</v>
      </c>
      <c r="I7" s="182">
        <v>8.6999999999999993</v>
      </c>
    </row>
    <row r="8" spans="1:9">
      <c r="A8" s="38" t="s">
        <v>67</v>
      </c>
      <c r="B8" s="38" t="s">
        <v>150</v>
      </c>
      <c r="C8" s="46">
        <v>2020</v>
      </c>
      <c r="D8" s="55">
        <v>15112047</v>
      </c>
      <c r="E8" s="55">
        <v>5337315</v>
      </c>
      <c r="F8" s="55">
        <v>9774732</v>
      </c>
      <c r="G8" s="182">
        <v>11.98</v>
      </c>
      <c r="H8" s="182">
        <v>21.28</v>
      </c>
      <c r="I8" s="182">
        <v>9.6</v>
      </c>
    </row>
    <row r="9" spans="1:9">
      <c r="A9" s="246" t="s">
        <v>67</v>
      </c>
      <c r="B9" s="246" t="s">
        <v>150</v>
      </c>
      <c r="C9" s="247">
        <v>2023</v>
      </c>
      <c r="D9" s="55">
        <v>14850022</v>
      </c>
      <c r="E9" s="55">
        <v>5486543</v>
      </c>
      <c r="F9" s="55">
        <v>9363479</v>
      </c>
      <c r="G9" s="182">
        <v>10.9</v>
      </c>
      <c r="H9" s="255">
        <v>19.54</v>
      </c>
      <c r="I9" s="255">
        <v>8.6199999999999992</v>
      </c>
    </row>
    <row r="10" spans="1:9">
      <c r="A10" s="38" t="s">
        <v>67</v>
      </c>
      <c r="B10" s="38" t="s">
        <v>351</v>
      </c>
      <c r="C10" s="46">
        <v>2000</v>
      </c>
      <c r="D10" s="55">
        <v>5181718</v>
      </c>
      <c r="E10" s="55">
        <v>1565848</v>
      </c>
      <c r="F10" s="55">
        <v>3615870</v>
      </c>
      <c r="G10" s="182">
        <v>25.77</v>
      </c>
      <c r="H10" s="182">
        <v>31.55</v>
      </c>
      <c r="I10" s="182">
        <v>23.87</v>
      </c>
    </row>
    <row r="11" spans="1:9">
      <c r="A11" s="38" t="s">
        <v>67</v>
      </c>
      <c r="B11" s="38" t="s">
        <v>351</v>
      </c>
      <c r="C11" s="46">
        <v>2005</v>
      </c>
      <c r="D11" s="55">
        <v>5360495</v>
      </c>
      <c r="E11" s="55">
        <v>1783679</v>
      </c>
      <c r="F11" s="55">
        <v>3576816</v>
      </c>
      <c r="G11" s="182">
        <v>25.13</v>
      </c>
      <c r="H11" s="182">
        <v>33.700000000000003</v>
      </c>
      <c r="I11" s="182">
        <v>22.3</v>
      </c>
    </row>
    <row r="12" spans="1:9">
      <c r="A12" s="38" t="s">
        <v>67</v>
      </c>
      <c r="B12" s="38" t="s">
        <v>351</v>
      </c>
      <c r="C12" s="46">
        <v>2010</v>
      </c>
      <c r="D12" s="55">
        <v>5013020</v>
      </c>
      <c r="E12" s="55">
        <v>1931632</v>
      </c>
      <c r="F12" s="55">
        <v>3081388</v>
      </c>
      <c r="G12" s="182">
        <v>22.18</v>
      </c>
      <c r="H12" s="182">
        <v>37.57</v>
      </c>
      <c r="I12" s="182">
        <v>17.64</v>
      </c>
    </row>
    <row r="13" spans="1:9">
      <c r="A13" s="38" t="s">
        <v>67</v>
      </c>
      <c r="B13" s="38" t="s">
        <v>351</v>
      </c>
      <c r="C13" s="46">
        <v>2015</v>
      </c>
      <c r="D13" s="55">
        <v>5814191</v>
      </c>
      <c r="E13" s="55">
        <v>1908013</v>
      </c>
      <c r="F13" s="55">
        <v>3906177</v>
      </c>
      <c r="G13" s="182">
        <v>28.56</v>
      </c>
      <c r="H13" s="182">
        <v>38.36</v>
      </c>
      <c r="I13" s="182">
        <v>25.32</v>
      </c>
    </row>
    <row r="14" spans="1:9">
      <c r="A14" s="38" t="s">
        <v>67</v>
      </c>
      <c r="B14" s="38" t="s">
        <v>351</v>
      </c>
      <c r="C14" s="46">
        <v>2020</v>
      </c>
      <c r="D14" s="55">
        <v>5205596</v>
      </c>
      <c r="E14" s="55">
        <v>1545939</v>
      </c>
      <c r="F14" s="55">
        <v>3659657</v>
      </c>
      <c r="G14" s="182">
        <v>29.85</v>
      </c>
      <c r="H14" s="182">
        <v>45.04</v>
      </c>
      <c r="I14" s="182">
        <v>25.87</v>
      </c>
    </row>
    <row r="15" spans="1:9">
      <c r="A15" s="246" t="s">
        <v>67</v>
      </c>
      <c r="B15" s="246" t="s">
        <v>351</v>
      </c>
      <c r="C15" s="247">
        <v>2023</v>
      </c>
      <c r="D15" s="55">
        <v>5152934</v>
      </c>
      <c r="E15" s="55">
        <v>1567177</v>
      </c>
      <c r="F15" s="55">
        <v>3585758</v>
      </c>
      <c r="G15" s="182">
        <v>26.97</v>
      </c>
      <c r="H15" s="255">
        <v>40.14</v>
      </c>
      <c r="I15" s="255">
        <v>23.39</v>
      </c>
    </row>
    <row r="16" spans="1:9">
      <c r="A16" s="38" t="s">
        <v>67</v>
      </c>
      <c r="B16" s="38" t="s">
        <v>352</v>
      </c>
      <c r="C16" s="46">
        <v>2000</v>
      </c>
      <c r="D16" s="55">
        <v>5151856</v>
      </c>
      <c r="E16" s="55">
        <v>1515848</v>
      </c>
      <c r="F16" s="55">
        <v>3636007</v>
      </c>
      <c r="G16" s="182">
        <v>8.1</v>
      </c>
      <c r="H16" s="182">
        <v>12.32</v>
      </c>
      <c r="I16" s="182">
        <v>7.09</v>
      </c>
    </row>
    <row r="17" spans="1:9">
      <c r="A17" s="38" t="s">
        <v>67</v>
      </c>
      <c r="B17" s="38" t="s">
        <v>352</v>
      </c>
      <c r="C17" s="46">
        <v>2005</v>
      </c>
      <c r="D17" s="55">
        <v>5253487</v>
      </c>
      <c r="E17" s="55">
        <v>1770388</v>
      </c>
      <c r="F17" s="55">
        <v>3483099</v>
      </c>
      <c r="G17" s="182">
        <v>7.04</v>
      </c>
      <c r="H17" s="182">
        <v>12.09</v>
      </c>
      <c r="I17" s="182">
        <v>5.81</v>
      </c>
    </row>
    <row r="18" spans="1:9">
      <c r="A18" s="38" t="s">
        <v>67</v>
      </c>
      <c r="B18" s="38" t="s">
        <v>352</v>
      </c>
      <c r="C18" s="46">
        <v>2010</v>
      </c>
      <c r="D18" s="55">
        <v>5798804</v>
      </c>
      <c r="E18" s="55">
        <v>2491807</v>
      </c>
      <c r="F18" s="55">
        <v>3306997</v>
      </c>
      <c r="G18" s="182">
        <v>6.26</v>
      </c>
      <c r="H18" s="182">
        <v>13.16</v>
      </c>
      <c r="I18" s="182">
        <v>4.49</v>
      </c>
    </row>
    <row r="19" spans="1:9">
      <c r="A19" s="38" t="s">
        <v>67</v>
      </c>
      <c r="B19" s="38" t="s">
        <v>352</v>
      </c>
      <c r="C19" s="46">
        <v>2015</v>
      </c>
      <c r="D19" s="55">
        <v>8204574</v>
      </c>
      <c r="E19" s="55">
        <v>3609645</v>
      </c>
      <c r="F19" s="55">
        <v>4594929</v>
      </c>
      <c r="G19" s="182">
        <v>7.89</v>
      </c>
      <c r="H19" s="182">
        <v>16.57</v>
      </c>
      <c r="I19" s="182">
        <v>5.58</v>
      </c>
    </row>
    <row r="20" spans="1:9">
      <c r="A20" s="38" t="s">
        <v>67</v>
      </c>
      <c r="B20" s="38" t="s">
        <v>352</v>
      </c>
      <c r="C20" s="46">
        <v>2020</v>
      </c>
      <c r="D20" s="55">
        <v>9906451</v>
      </c>
      <c r="E20" s="55">
        <v>3791376</v>
      </c>
      <c r="F20" s="55">
        <v>6115075</v>
      </c>
      <c r="G20" s="182">
        <v>9.08</v>
      </c>
      <c r="H20" s="182">
        <v>17.350000000000001</v>
      </c>
      <c r="I20" s="182">
        <v>6.97</v>
      </c>
    </row>
    <row r="21" spans="1:9">
      <c r="A21" s="38" t="s">
        <v>67</v>
      </c>
      <c r="B21" s="38" t="s">
        <v>352</v>
      </c>
      <c r="C21" s="46">
        <v>2023</v>
      </c>
      <c r="D21" s="55">
        <v>9697088</v>
      </c>
      <c r="E21" s="55">
        <v>3919366</v>
      </c>
      <c r="F21" s="55">
        <v>5777721</v>
      </c>
      <c r="G21" s="182">
        <v>8.31</v>
      </c>
      <c r="H21" s="182">
        <v>16.12</v>
      </c>
      <c r="I21" s="182">
        <v>6.26</v>
      </c>
    </row>
    <row r="22" spans="1:9">
      <c r="A22" s="38" t="s">
        <v>144</v>
      </c>
      <c r="B22" s="38" t="s">
        <v>150</v>
      </c>
      <c r="C22" s="46">
        <v>2000</v>
      </c>
      <c r="D22" s="55">
        <v>416657</v>
      </c>
      <c r="E22" s="55">
        <v>109507</v>
      </c>
      <c r="F22" s="55">
        <v>307150</v>
      </c>
      <c r="G22" s="182">
        <v>3.64</v>
      </c>
      <c r="H22" s="182">
        <v>6.85</v>
      </c>
      <c r="I22" s="182">
        <v>3.12</v>
      </c>
    </row>
    <row r="23" spans="1:9">
      <c r="A23" s="38" t="s">
        <v>144</v>
      </c>
      <c r="B23" s="38" t="s">
        <v>150</v>
      </c>
      <c r="C23" s="46">
        <v>2005</v>
      </c>
      <c r="D23" s="55">
        <v>671522</v>
      </c>
      <c r="E23" s="55">
        <v>223413</v>
      </c>
      <c r="F23" s="55">
        <v>448109</v>
      </c>
      <c r="G23" s="182">
        <v>4.68</v>
      </c>
      <c r="H23" s="182">
        <v>10.33</v>
      </c>
      <c r="I23" s="182">
        <v>3.68</v>
      </c>
    </row>
    <row r="24" spans="1:9">
      <c r="A24" s="38" t="s">
        <v>144</v>
      </c>
      <c r="B24" s="38" t="s">
        <v>150</v>
      </c>
      <c r="C24" s="46">
        <v>2010</v>
      </c>
      <c r="D24" s="55">
        <v>862910</v>
      </c>
      <c r="E24" s="55">
        <v>371081</v>
      </c>
      <c r="F24" s="55">
        <v>491829</v>
      </c>
      <c r="G24" s="182">
        <v>4</v>
      </c>
      <c r="H24" s="182">
        <v>11.23</v>
      </c>
      <c r="I24" s="182">
        <v>2.69</v>
      </c>
    </row>
    <row r="25" spans="1:9">
      <c r="A25" s="38" t="s">
        <v>144</v>
      </c>
      <c r="B25" s="38" t="s">
        <v>150</v>
      </c>
      <c r="C25" s="46">
        <v>2015</v>
      </c>
      <c r="D25" s="55">
        <v>1000763</v>
      </c>
      <c r="E25" s="55">
        <v>589574</v>
      </c>
      <c r="F25" s="55">
        <v>411189</v>
      </c>
      <c r="G25" s="182">
        <v>3.75</v>
      </c>
      <c r="H25" s="182">
        <v>13.42</v>
      </c>
      <c r="I25" s="182">
        <v>1.84</v>
      </c>
    </row>
    <row r="26" spans="1:9">
      <c r="A26" s="38" t="s">
        <v>144</v>
      </c>
      <c r="B26" s="38" t="s">
        <v>150</v>
      </c>
      <c r="C26" s="46">
        <v>2020</v>
      </c>
      <c r="D26" s="55">
        <v>1638602</v>
      </c>
      <c r="E26" s="55">
        <v>829651</v>
      </c>
      <c r="F26" s="55">
        <v>808951</v>
      </c>
      <c r="G26" s="182">
        <v>5.45</v>
      </c>
      <c r="H26" s="182">
        <v>14.16</v>
      </c>
      <c r="I26" s="182">
        <v>3.34</v>
      </c>
    </row>
    <row r="27" spans="1:9">
      <c r="A27" s="38" t="s">
        <v>144</v>
      </c>
      <c r="B27" s="38" t="s">
        <v>150</v>
      </c>
      <c r="C27" s="46">
        <v>2023</v>
      </c>
      <c r="D27" s="55">
        <v>1104433</v>
      </c>
      <c r="E27" s="55">
        <v>658749</v>
      </c>
      <c r="F27" s="55">
        <v>445683</v>
      </c>
      <c r="G27" s="182">
        <v>3.66</v>
      </c>
      <c r="H27" s="182">
        <v>10.87</v>
      </c>
      <c r="I27" s="182">
        <v>1.74</v>
      </c>
    </row>
    <row r="28" spans="1:9">
      <c r="A28" s="38" t="s">
        <v>144</v>
      </c>
      <c r="B28" s="38" t="s">
        <v>351</v>
      </c>
      <c r="C28" s="46">
        <v>2000</v>
      </c>
      <c r="D28" s="55">
        <v>261636</v>
      </c>
      <c r="E28" s="55">
        <v>63070</v>
      </c>
      <c r="F28" s="55">
        <v>198566</v>
      </c>
      <c r="G28" s="182">
        <v>15.04</v>
      </c>
      <c r="H28" s="182">
        <v>18.989999999999998</v>
      </c>
      <c r="I28" s="182">
        <v>14.11</v>
      </c>
    </row>
    <row r="29" spans="1:9">
      <c r="A29" s="38" t="s">
        <v>144</v>
      </c>
      <c r="B29" s="38" t="s">
        <v>351</v>
      </c>
      <c r="C29" s="46">
        <v>2005</v>
      </c>
      <c r="D29" s="55">
        <v>366230</v>
      </c>
      <c r="E29" s="55">
        <v>108992</v>
      </c>
      <c r="F29" s="55">
        <v>257238</v>
      </c>
      <c r="G29" s="182">
        <v>21.1</v>
      </c>
      <c r="H29" s="182">
        <v>28.51</v>
      </c>
      <c r="I29" s="182">
        <v>19</v>
      </c>
    </row>
    <row r="30" spans="1:9">
      <c r="A30" s="38" t="s">
        <v>144</v>
      </c>
      <c r="B30" s="38" t="s">
        <v>351</v>
      </c>
      <c r="C30" s="46">
        <v>2010</v>
      </c>
      <c r="D30" s="55">
        <v>394484</v>
      </c>
      <c r="E30" s="55">
        <v>133518</v>
      </c>
      <c r="F30" s="55">
        <v>260966</v>
      </c>
      <c r="G30" s="182">
        <v>14.31</v>
      </c>
      <c r="H30" s="182">
        <v>26.48</v>
      </c>
      <c r="I30" s="182">
        <v>11.58</v>
      </c>
    </row>
    <row r="31" spans="1:9">
      <c r="A31" s="38" t="s">
        <v>144</v>
      </c>
      <c r="B31" s="38" t="s">
        <v>351</v>
      </c>
      <c r="C31" s="46">
        <v>2015</v>
      </c>
      <c r="D31" s="55">
        <v>361136</v>
      </c>
      <c r="E31" s="55">
        <v>155753</v>
      </c>
      <c r="F31" s="55">
        <v>205382</v>
      </c>
      <c r="G31" s="182">
        <v>14.88</v>
      </c>
      <c r="H31" s="182">
        <v>32.72</v>
      </c>
      <c r="I31" s="182">
        <v>10.53</v>
      </c>
    </row>
    <row r="32" spans="1:9">
      <c r="A32" s="38" t="s">
        <v>144</v>
      </c>
      <c r="B32" s="38" t="s">
        <v>351</v>
      </c>
      <c r="C32" s="46">
        <v>2020</v>
      </c>
      <c r="D32" s="55">
        <v>462498</v>
      </c>
      <c r="E32" s="55">
        <v>185693</v>
      </c>
      <c r="F32" s="55">
        <v>276804</v>
      </c>
      <c r="G32" s="182">
        <v>20.49</v>
      </c>
      <c r="H32" s="182">
        <v>34.229999999999997</v>
      </c>
      <c r="I32" s="182">
        <v>16.149999999999999</v>
      </c>
    </row>
    <row r="33" spans="1:9">
      <c r="A33" s="38" t="s">
        <v>144</v>
      </c>
      <c r="B33" s="38" t="s">
        <v>351</v>
      </c>
      <c r="C33" s="46">
        <v>2023</v>
      </c>
      <c r="D33" s="55">
        <v>318753</v>
      </c>
      <c r="E33" s="55">
        <v>144281</v>
      </c>
      <c r="F33" s="55">
        <v>174472</v>
      </c>
      <c r="G33" s="182">
        <v>12.8</v>
      </c>
      <c r="H33" s="182">
        <v>23.51</v>
      </c>
      <c r="I33" s="182">
        <v>8.8000000000000007</v>
      </c>
    </row>
    <row r="34" spans="1:9">
      <c r="A34" s="38" t="s">
        <v>144</v>
      </c>
      <c r="B34" s="38" t="s">
        <v>352</v>
      </c>
      <c r="C34" s="46">
        <v>2000</v>
      </c>
      <c r="D34" s="55">
        <v>155021</v>
      </c>
      <c r="E34" s="55">
        <v>46437</v>
      </c>
      <c r="F34" s="55">
        <v>108584</v>
      </c>
      <c r="G34" s="182">
        <v>1.6</v>
      </c>
      <c r="H34" s="182">
        <v>3.67</v>
      </c>
      <c r="I34" s="182">
        <v>1.29</v>
      </c>
    </row>
    <row r="35" spans="1:9">
      <c r="A35" s="38" t="s">
        <v>144</v>
      </c>
      <c r="B35" s="38" t="s">
        <v>352</v>
      </c>
      <c r="C35" s="46">
        <v>2005</v>
      </c>
      <c r="D35" s="55">
        <v>305292</v>
      </c>
      <c r="E35" s="55">
        <v>114421</v>
      </c>
      <c r="F35" s="55">
        <v>190870</v>
      </c>
      <c r="G35" s="182">
        <v>2.42</v>
      </c>
      <c r="H35" s="182">
        <v>6.43</v>
      </c>
      <c r="I35" s="182">
        <v>1.76</v>
      </c>
    </row>
    <row r="36" spans="1:9">
      <c r="A36" s="38" t="s">
        <v>144</v>
      </c>
      <c r="B36" s="38" t="s">
        <v>352</v>
      </c>
      <c r="C36" s="46">
        <v>2010</v>
      </c>
      <c r="D36" s="55">
        <v>468426</v>
      </c>
      <c r="E36" s="55">
        <v>237562</v>
      </c>
      <c r="F36" s="55">
        <v>230864</v>
      </c>
      <c r="G36" s="182">
        <v>2.4900000000000002</v>
      </c>
      <c r="H36" s="182">
        <v>8.48</v>
      </c>
      <c r="I36" s="182">
        <v>1.44</v>
      </c>
    </row>
    <row r="37" spans="1:9">
      <c r="A37" s="38" t="s">
        <v>144</v>
      </c>
      <c r="B37" s="38" t="s">
        <v>352</v>
      </c>
      <c r="C37" s="46">
        <v>2015</v>
      </c>
      <c r="D37" s="55">
        <v>639627</v>
      </c>
      <c r="E37" s="55">
        <v>433820</v>
      </c>
      <c r="F37" s="55">
        <v>205807</v>
      </c>
      <c r="G37" s="182">
        <v>2.64</v>
      </c>
      <c r="H37" s="182">
        <v>11.08</v>
      </c>
      <c r="I37" s="182">
        <v>1.01</v>
      </c>
    </row>
    <row r="38" spans="1:9">
      <c r="A38" s="38" t="s">
        <v>144</v>
      </c>
      <c r="B38" s="38" t="s">
        <v>352</v>
      </c>
      <c r="C38" s="46">
        <v>2020</v>
      </c>
      <c r="D38" s="55">
        <v>1176104</v>
      </c>
      <c r="E38" s="55">
        <v>643958</v>
      </c>
      <c r="F38" s="55">
        <v>532147</v>
      </c>
      <c r="G38" s="182">
        <v>4.2300000000000004</v>
      </c>
      <c r="H38" s="182">
        <v>12.11</v>
      </c>
      <c r="I38" s="182">
        <v>2.37</v>
      </c>
    </row>
    <row r="39" spans="1:9">
      <c r="A39" s="38" t="s">
        <v>144</v>
      </c>
      <c r="B39" s="38" t="s">
        <v>352</v>
      </c>
      <c r="C39" s="46">
        <v>2023</v>
      </c>
      <c r="D39" s="55">
        <v>785679</v>
      </c>
      <c r="E39" s="55">
        <v>514468</v>
      </c>
      <c r="F39" s="55">
        <v>271211</v>
      </c>
      <c r="G39" s="182">
        <v>2.91</v>
      </c>
      <c r="H39" s="182">
        <v>9.48</v>
      </c>
      <c r="I39" s="182">
        <v>1.2</v>
      </c>
    </row>
    <row r="40" spans="1:9">
      <c r="A40" s="38" t="s">
        <v>119</v>
      </c>
      <c r="B40" s="38" t="s">
        <v>150</v>
      </c>
      <c r="C40" s="46">
        <v>2000</v>
      </c>
      <c r="D40" s="55">
        <v>4774070</v>
      </c>
      <c r="E40" s="55">
        <v>941397</v>
      </c>
      <c r="F40" s="55">
        <v>3832673</v>
      </c>
      <c r="G40" s="182">
        <v>20.3</v>
      </c>
      <c r="H40" s="182">
        <v>18.96</v>
      </c>
      <c r="I40" s="182">
        <v>20.66</v>
      </c>
    </row>
    <row r="41" spans="1:9">
      <c r="A41" s="38" t="s">
        <v>119</v>
      </c>
      <c r="B41" s="38" t="s">
        <v>150</v>
      </c>
      <c r="C41" s="46">
        <v>2005</v>
      </c>
      <c r="D41" s="55">
        <v>3491107</v>
      </c>
      <c r="E41" s="55">
        <v>872771</v>
      </c>
      <c r="F41" s="55">
        <v>2618336</v>
      </c>
      <c r="G41" s="182">
        <v>13.46</v>
      </c>
      <c r="H41" s="182">
        <v>15.09</v>
      </c>
      <c r="I41" s="182">
        <v>12.99</v>
      </c>
    </row>
    <row r="42" spans="1:9">
      <c r="A42" s="38" t="s">
        <v>119</v>
      </c>
      <c r="B42" s="38" t="s">
        <v>150</v>
      </c>
      <c r="C42" s="46">
        <v>2010</v>
      </c>
      <c r="D42" s="55">
        <v>3045706</v>
      </c>
      <c r="E42" s="55">
        <v>1015110</v>
      </c>
      <c r="F42" s="55">
        <v>2030595</v>
      </c>
      <c r="G42" s="182">
        <v>10.74</v>
      </c>
      <c r="H42" s="182">
        <v>15.45</v>
      </c>
      <c r="I42" s="182">
        <v>9.32</v>
      </c>
    </row>
    <row r="43" spans="1:9">
      <c r="A43" s="38" t="s">
        <v>119</v>
      </c>
      <c r="B43" s="38" t="s">
        <v>150</v>
      </c>
      <c r="C43" s="46">
        <v>2015</v>
      </c>
      <c r="D43" s="55">
        <v>3455045</v>
      </c>
      <c r="E43" s="55">
        <v>1128348</v>
      </c>
      <c r="F43" s="55">
        <v>2326697</v>
      </c>
      <c r="G43" s="182">
        <v>11.64</v>
      </c>
      <c r="H43" s="182">
        <v>15.78</v>
      </c>
      <c r="I43" s="182">
        <v>10.32</v>
      </c>
    </row>
    <row r="44" spans="1:9">
      <c r="A44" s="38" t="s">
        <v>119</v>
      </c>
      <c r="B44" s="38" t="s">
        <v>150</v>
      </c>
      <c r="C44" s="46">
        <v>2020</v>
      </c>
      <c r="D44" s="55">
        <v>4147697</v>
      </c>
      <c r="E44" s="55">
        <v>1366376</v>
      </c>
      <c r="F44" s="55">
        <v>2781321</v>
      </c>
      <c r="G44" s="182">
        <v>14.15</v>
      </c>
      <c r="H44" s="182">
        <v>20.02</v>
      </c>
      <c r="I44" s="182">
        <v>12.37</v>
      </c>
    </row>
    <row r="45" spans="1:9">
      <c r="A45" s="38" t="s">
        <v>119</v>
      </c>
      <c r="B45" s="38" t="s">
        <v>150</v>
      </c>
      <c r="C45" s="46">
        <v>2023</v>
      </c>
      <c r="D45" s="55">
        <v>3826557</v>
      </c>
      <c r="E45" s="55">
        <v>1318909</v>
      </c>
      <c r="F45" s="55">
        <v>2507648</v>
      </c>
      <c r="G45" s="182">
        <v>12.52</v>
      </c>
      <c r="H45" s="182">
        <v>18.93</v>
      </c>
      <c r="I45" s="182">
        <v>10.59</v>
      </c>
    </row>
    <row r="46" spans="1:9">
      <c r="A46" s="38" t="s">
        <v>119</v>
      </c>
      <c r="B46" s="38" t="s">
        <v>351</v>
      </c>
      <c r="C46" s="46">
        <v>2000</v>
      </c>
      <c r="D46" s="55">
        <v>2166917</v>
      </c>
      <c r="E46" s="55">
        <v>410673</v>
      </c>
      <c r="F46" s="55">
        <v>1756244</v>
      </c>
      <c r="G46" s="182">
        <v>35.270000000000003</v>
      </c>
      <c r="H46" s="182">
        <v>28.55</v>
      </c>
      <c r="I46" s="182">
        <v>37.33</v>
      </c>
    </row>
    <row r="47" spans="1:9">
      <c r="A47" s="38" t="s">
        <v>119</v>
      </c>
      <c r="B47" s="38" t="s">
        <v>351</v>
      </c>
      <c r="C47" s="46">
        <v>2005</v>
      </c>
      <c r="D47" s="55">
        <v>1451150</v>
      </c>
      <c r="E47" s="55">
        <v>316301</v>
      </c>
      <c r="F47" s="55">
        <v>1134849</v>
      </c>
      <c r="G47" s="182">
        <v>24.76</v>
      </c>
      <c r="H47" s="182">
        <v>23.41</v>
      </c>
      <c r="I47" s="182">
        <v>25.16</v>
      </c>
    </row>
    <row r="48" spans="1:9">
      <c r="A48" s="38" t="s">
        <v>119</v>
      </c>
      <c r="B48" s="38" t="s">
        <v>351</v>
      </c>
      <c r="C48" s="46">
        <v>2010</v>
      </c>
      <c r="D48" s="55">
        <v>1153226</v>
      </c>
      <c r="E48" s="55">
        <v>331658</v>
      </c>
      <c r="F48" s="55">
        <v>821567</v>
      </c>
      <c r="G48" s="182">
        <v>22.14</v>
      </c>
      <c r="H48" s="182">
        <v>27.57</v>
      </c>
      <c r="I48" s="182">
        <v>20.52</v>
      </c>
    </row>
    <row r="49" spans="1:9">
      <c r="A49" s="38" t="s">
        <v>119</v>
      </c>
      <c r="B49" s="38" t="s">
        <v>351</v>
      </c>
      <c r="C49" s="46">
        <v>2015</v>
      </c>
      <c r="D49" s="55">
        <v>1154306</v>
      </c>
      <c r="E49" s="55">
        <v>345009</v>
      </c>
      <c r="F49" s="55">
        <v>809297</v>
      </c>
      <c r="G49" s="182">
        <v>27.61</v>
      </c>
      <c r="H49" s="182">
        <v>33.08</v>
      </c>
      <c r="I49" s="182">
        <v>25.79</v>
      </c>
    </row>
    <row r="50" spans="1:9">
      <c r="A50" s="38" t="s">
        <v>119</v>
      </c>
      <c r="B50" s="38" t="s">
        <v>351</v>
      </c>
      <c r="C50" s="46">
        <v>2020</v>
      </c>
      <c r="D50" s="55">
        <v>1171395</v>
      </c>
      <c r="E50" s="55">
        <v>326411</v>
      </c>
      <c r="F50" s="55">
        <v>844984</v>
      </c>
      <c r="G50" s="182">
        <v>33.799999999999997</v>
      </c>
      <c r="H50" s="182">
        <v>40.909999999999997</v>
      </c>
      <c r="I50" s="182">
        <v>31.68</v>
      </c>
    </row>
    <row r="51" spans="1:9">
      <c r="A51" s="38" t="s">
        <v>119</v>
      </c>
      <c r="B51" s="38" t="s">
        <v>351</v>
      </c>
      <c r="C51" s="46">
        <v>2023</v>
      </c>
      <c r="D51" s="55">
        <v>1091378</v>
      </c>
      <c r="E51" s="55">
        <v>305096</v>
      </c>
      <c r="F51" s="55">
        <v>786282</v>
      </c>
      <c r="G51" s="182">
        <v>30.12</v>
      </c>
      <c r="H51" s="182">
        <v>37.43</v>
      </c>
      <c r="I51" s="182">
        <v>27.96</v>
      </c>
    </row>
    <row r="52" spans="1:9">
      <c r="A52" s="38" t="s">
        <v>119</v>
      </c>
      <c r="B52" s="38" t="s">
        <v>352</v>
      </c>
      <c r="C52" s="46">
        <v>2000</v>
      </c>
      <c r="D52" s="55">
        <v>2607153</v>
      </c>
      <c r="E52" s="55">
        <v>530724</v>
      </c>
      <c r="F52" s="55">
        <v>2076429</v>
      </c>
      <c r="G52" s="182">
        <v>15.01</v>
      </c>
      <c r="H52" s="182">
        <v>15.05</v>
      </c>
      <c r="I52" s="182">
        <v>15</v>
      </c>
    </row>
    <row r="53" spans="1:9">
      <c r="A53" s="38" t="s">
        <v>119</v>
      </c>
      <c r="B53" s="38" t="s">
        <v>352</v>
      </c>
      <c r="C53" s="46">
        <v>2005</v>
      </c>
      <c r="D53" s="55">
        <v>2039957</v>
      </c>
      <c r="E53" s="55">
        <v>556469</v>
      </c>
      <c r="F53" s="55">
        <v>1483487</v>
      </c>
      <c r="G53" s="182">
        <v>10.16</v>
      </c>
      <c r="H53" s="182">
        <v>12.56</v>
      </c>
      <c r="I53" s="182">
        <v>9.48</v>
      </c>
    </row>
    <row r="54" spans="1:9">
      <c r="A54" s="38" t="s">
        <v>119</v>
      </c>
      <c r="B54" s="38" t="s">
        <v>352</v>
      </c>
      <c r="C54" s="46">
        <v>2010</v>
      </c>
      <c r="D54" s="55">
        <v>1892480</v>
      </c>
      <c r="E54" s="55">
        <v>683452</v>
      </c>
      <c r="F54" s="55">
        <v>1209028</v>
      </c>
      <c r="G54" s="182">
        <v>8.17</v>
      </c>
      <c r="H54" s="182">
        <v>12.74</v>
      </c>
      <c r="I54" s="182">
        <v>6.8</v>
      </c>
    </row>
    <row r="55" spans="1:9">
      <c r="A55" s="38" t="s">
        <v>119</v>
      </c>
      <c r="B55" s="38" t="s">
        <v>352</v>
      </c>
      <c r="C55" s="46">
        <v>2015</v>
      </c>
      <c r="D55" s="55">
        <v>2300739</v>
      </c>
      <c r="E55" s="55">
        <v>783339</v>
      </c>
      <c r="F55" s="55">
        <v>1517400</v>
      </c>
      <c r="G55" s="182">
        <v>9.02</v>
      </c>
      <c r="H55" s="182">
        <v>12.83</v>
      </c>
      <c r="I55" s="182">
        <v>7.82</v>
      </c>
    </row>
    <row r="56" spans="1:9">
      <c r="A56" s="38" t="s">
        <v>119</v>
      </c>
      <c r="B56" s="38" t="s">
        <v>352</v>
      </c>
      <c r="C56" s="46">
        <v>2020</v>
      </c>
      <c r="D56" s="55">
        <v>2976301</v>
      </c>
      <c r="E56" s="55">
        <v>1039964</v>
      </c>
      <c r="F56" s="55">
        <v>1936337</v>
      </c>
      <c r="G56" s="182">
        <v>11.54</v>
      </c>
      <c r="H56" s="182">
        <v>17.29</v>
      </c>
      <c r="I56" s="182">
        <v>9.7899999999999991</v>
      </c>
    </row>
    <row r="57" spans="1:9">
      <c r="A57" s="38" t="s">
        <v>119</v>
      </c>
      <c r="B57" s="38" t="s">
        <v>352</v>
      </c>
      <c r="C57" s="46">
        <v>2023</v>
      </c>
      <c r="D57" s="55">
        <v>2735179</v>
      </c>
      <c r="E57" s="55">
        <v>1013813</v>
      </c>
      <c r="F57" s="55">
        <v>1721366</v>
      </c>
      <c r="G57" s="182">
        <v>10.24</v>
      </c>
      <c r="H57" s="182">
        <v>16.57</v>
      </c>
      <c r="I57" s="182">
        <v>8.33</v>
      </c>
    </row>
    <row r="58" spans="1:9">
      <c r="A58" s="38" t="s">
        <v>120</v>
      </c>
      <c r="B58" s="38" t="s">
        <v>150</v>
      </c>
      <c r="C58" s="46">
        <v>2000</v>
      </c>
      <c r="D58" s="55">
        <v>3154033</v>
      </c>
      <c r="E58" s="55">
        <v>1368248</v>
      </c>
      <c r="F58" s="55">
        <v>1785786</v>
      </c>
      <c r="G58" s="182">
        <v>9.1</v>
      </c>
      <c r="H58" s="182">
        <v>19.95</v>
      </c>
      <c r="I58" s="182">
        <v>6.43</v>
      </c>
    </row>
    <row r="59" spans="1:9">
      <c r="A59" s="38" t="s">
        <v>120</v>
      </c>
      <c r="B59" s="38" t="s">
        <v>150</v>
      </c>
      <c r="C59" s="46">
        <v>2005</v>
      </c>
      <c r="D59" s="55">
        <v>4163471</v>
      </c>
      <c r="E59" s="55">
        <v>1681886</v>
      </c>
      <c r="F59" s="55">
        <v>2481585</v>
      </c>
      <c r="G59" s="182">
        <v>10.51</v>
      </c>
      <c r="H59" s="182">
        <v>21.43</v>
      </c>
      <c r="I59" s="182">
        <v>7.82</v>
      </c>
    </row>
    <row r="60" spans="1:9">
      <c r="A60" s="38" t="s">
        <v>120</v>
      </c>
      <c r="B60" s="38" t="s">
        <v>150</v>
      </c>
      <c r="C60" s="46">
        <v>2010</v>
      </c>
      <c r="D60" s="55">
        <v>4191776</v>
      </c>
      <c r="E60" s="55">
        <v>1941997</v>
      </c>
      <c r="F60" s="55">
        <v>2249780</v>
      </c>
      <c r="G60" s="182">
        <v>8.98</v>
      </c>
      <c r="H60" s="182">
        <v>20.11</v>
      </c>
      <c r="I60" s="182">
        <v>6.07</v>
      </c>
    </row>
    <row r="61" spans="1:9">
      <c r="A61" s="38" t="s">
        <v>120</v>
      </c>
      <c r="B61" s="38" t="s">
        <v>150</v>
      </c>
      <c r="C61" s="46">
        <v>2015</v>
      </c>
      <c r="D61" s="55">
        <v>6436275</v>
      </c>
      <c r="E61" s="55">
        <v>2634745</v>
      </c>
      <c r="F61" s="55">
        <v>3801531</v>
      </c>
      <c r="G61" s="182">
        <v>12.78</v>
      </c>
      <c r="H61" s="182">
        <v>23.88</v>
      </c>
      <c r="I61" s="182">
        <v>9.67</v>
      </c>
    </row>
    <row r="62" spans="1:9">
      <c r="A62" s="38" t="s">
        <v>120</v>
      </c>
      <c r="B62" s="38" t="s">
        <v>150</v>
      </c>
      <c r="C62" s="46">
        <v>2020</v>
      </c>
      <c r="D62" s="55">
        <v>5888637</v>
      </c>
      <c r="E62" s="55">
        <v>1908006</v>
      </c>
      <c r="F62" s="55">
        <v>3980631</v>
      </c>
      <c r="G62" s="182">
        <v>11.52</v>
      </c>
      <c r="H62" s="182">
        <v>21.47</v>
      </c>
      <c r="I62" s="182">
        <v>9.42</v>
      </c>
    </row>
    <row r="63" spans="1:9">
      <c r="A63" s="38" t="s">
        <v>120</v>
      </c>
      <c r="B63" s="38" t="s">
        <v>150</v>
      </c>
      <c r="C63" s="46">
        <v>2023</v>
      </c>
      <c r="D63" s="55">
        <v>6350239</v>
      </c>
      <c r="E63" s="55">
        <v>2252753</v>
      </c>
      <c r="F63" s="55">
        <v>4097486</v>
      </c>
      <c r="G63" s="182">
        <v>10.27</v>
      </c>
      <c r="H63" s="182">
        <v>18.93</v>
      </c>
      <c r="I63" s="182">
        <v>8.36</v>
      </c>
    </row>
    <row r="64" spans="1:9">
      <c r="A64" s="38" t="s">
        <v>120</v>
      </c>
      <c r="B64" s="38" t="s">
        <v>351</v>
      </c>
      <c r="C64" s="46">
        <v>2000</v>
      </c>
      <c r="D64" s="55">
        <v>1842554</v>
      </c>
      <c r="E64" s="55">
        <v>808892</v>
      </c>
      <c r="F64" s="55">
        <v>1033662</v>
      </c>
      <c r="G64" s="182">
        <v>21.79</v>
      </c>
      <c r="H64" s="182">
        <v>40.380000000000003</v>
      </c>
      <c r="I64" s="182">
        <v>16.02</v>
      </c>
    </row>
    <row r="65" spans="1:9">
      <c r="A65" s="38" t="s">
        <v>120</v>
      </c>
      <c r="B65" s="38" t="s">
        <v>351</v>
      </c>
      <c r="C65" s="46">
        <v>2005</v>
      </c>
      <c r="D65" s="55">
        <v>2499442</v>
      </c>
      <c r="E65" s="55">
        <v>1037752</v>
      </c>
      <c r="F65" s="55">
        <v>1461690</v>
      </c>
      <c r="G65" s="182">
        <v>26.25</v>
      </c>
      <c r="H65" s="182">
        <v>44.58</v>
      </c>
      <c r="I65" s="182">
        <v>20.32</v>
      </c>
    </row>
    <row r="66" spans="1:9">
      <c r="A66" s="38" t="s">
        <v>120</v>
      </c>
      <c r="B66" s="38" t="s">
        <v>351</v>
      </c>
      <c r="C66" s="46">
        <v>2010</v>
      </c>
      <c r="D66" s="55">
        <v>2305610</v>
      </c>
      <c r="E66" s="55">
        <v>1050322</v>
      </c>
      <c r="F66" s="55">
        <v>1255288</v>
      </c>
      <c r="G66" s="182">
        <v>22.75</v>
      </c>
      <c r="H66" s="182">
        <v>47.5</v>
      </c>
      <c r="I66" s="182">
        <v>15.84</v>
      </c>
    </row>
    <row r="67" spans="1:9">
      <c r="A67" s="38" t="s">
        <v>120</v>
      </c>
      <c r="B67" s="38" t="s">
        <v>351</v>
      </c>
      <c r="C67" s="46">
        <v>2015</v>
      </c>
      <c r="D67" s="55">
        <v>3081722</v>
      </c>
      <c r="E67" s="55">
        <v>1035560</v>
      </c>
      <c r="F67" s="55">
        <v>2046163</v>
      </c>
      <c r="G67" s="182">
        <v>30.79</v>
      </c>
      <c r="H67" s="182">
        <v>40.700000000000003</v>
      </c>
      <c r="I67" s="182">
        <v>27.42</v>
      </c>
    </row>
    <row r="68" spans="1:9">
      <c r="A68" s="38" t="s">
        <v>120</v>
      </c>
      <c r="B68" s="38" t="s">
        <v>351</v>
      </c>
      <c r="C68" s="46">
        <v>2020</v>
      </c>
      <c r="D68" s="55">
        <v>2329809</v>
      </c>
      <c r="E68" s="55">
        <v>691473</v>
      </c>
      <c r="F68" s="55">
        <v>1638335</v>
      </c>
      <c r="G68" s="182">
        <v>27.37</v>
      </c>
      <c r="H68" s="182">
        <v>50.71</v>
      </c>
      <c r="I68" s="182">
        <v>22.93</v>
      </c>
    </row>
    <row r="69" spans="1:9">
      <c r="A69" s="38" t="s">
        <v>120</v>
      </c>
      <c r="B69" s="38" t="s">
        <v>351</v>
      </c>
      <c r="C69" s="46">
        <v>2023</v>
      </c>
      <c r="D69" s="55">
        <v>2522063</v>
      </c>
      <c r="E69" s="55">
        <v>806566</v>
      </c>
      <c r="F69" s="55">
        <v>1715497</v>
      </c>
      <c r="G69" s="182">
        <v>24.71</v>
      </c>
      <c r="H69" s="182">
        <v>44.45</v>
      </c>
      <c r="I69" s="182">
        <v>20.73</v>
      </c>
    </row>
    <row r="70" spans="1:9">
      <c r="A70" s="38" t="s">
        <v>120</v>
      </c>
      <c r="B70" s="38" t="s">
        <v>352</v>
      </c>
      <c r="C70" s="46">
        <v>2000</v>
      </c>
      <c r="D70" s="55">
        <v>1311480</v>
      </c>
      <c r="E70" s="55">
        <v>559356</v>
      </c>
      <c r="F70" s="55">
        <v>752124</v>
      </c>
      <c r="G70" s="182">
        <v>5.01</v>
      </c>
      <c r="H70" s="182">
        <v>11.52</v>
      </c>
      <c r="I70" s="182">
        <v>3.53</v>
      </c>
    </row>
    <row r="71" spans="1:9">
      <c r="A71" s="38" t="s">
        <v>120</v>
      </c>
      <c r="B71" s="38" t="s">
        <v>352</v>
      </c>
      <c r="C71" s="46">
        <v>2005</v>
      </c>
      <c r="D71" s="55">
        <v>1664029</v>
      </c>
      <c r="E71" s="55">
        <v>644134</v>
      </c>
      <c r="F71" s="55">
        <v>1019895</v>
      </c>
      <c r="G71" s="182">
        <v>5.53</v>
      </c>
      <c r="H71" s="182">
        <v>11.67</v>
      </c>
      <c r="I71" s="182">
        <v>4.1500000000000004</v>
      </c>
    </row>
    <row r="72" spans="1:9">
      <c r="A72" s="38" t="s">
        <v>120</v>
      </c>
      <c r="B72" s="38" t="s">
        <v>352</v>
      </c>
      <c r="C72" s="46">
        <v>2010</v>
      </c>
      <c r="D72" s="55">
        <v>1886167</v>
      </c>
      <c r="E72" s="55">
        <v>891675</v>
      </c>
      <c r="F72" s="55">
        <v>994492</v>
      </c>
      <c r="G72" s="182">
        <v>5.16</v>
      </c>
      <c r="H72" s="182">
        <v>11.98</v>
      </c>
      <c r="I72" s="182">
        <v>3.42</v>
      </c>
    </row>
    <row r="73" spans="1:9">
      <c r="A73" s="38" t="s">
        <v>120</v>
      </c>
      <c r="B73" s="38" t="s">
        <v>352</v>
      </c>
      <c r="C73" s="46">
        <v>2015</v>
      </c>
      <c r="D73" s="55">
        <v>3354553</v>
      </c>
      <c r="E73" s="55">
        <v>1599185</v>
      </c>
      <c r="F73" s="55">
        <v>1755368</v>
      </c>
      <c r="G73" s="182">
        <v>8.31</v>
      </c>
      <c r="H73" s="182">
        <v>18.829999999999998</v>
      </c>
      <c r="I73" s="182">
        <v>5.51</v>
      </c>
    </row>
    <row r="74" spans="1:9">
      <c r="A74" s="38" t="s">
        <v>120</v>
      </c>
      <c r="B74" s="38" t="s">
        <v>352</v>
      </c>
      <c r="C74" s="46">
        <v>2020</v>
      </c>
      <c r="D74" s="55">
        <v>3558828</v>
      </c>
      <c r="E74" s="55">
        <v>1216532</v>
      </c>
      <c r="F74" s="55">
        <v>2342296</v>
      </c>
      <c r="G74" s="182">
        <v>8.35</v>
      </c>
      <c r="H74" s="182">
        <v>16.170000000000002</v>
      </c>
      <c r="I74" s="182">
        <v>6.67</v>
      </c>
    </row>
    <row r="75" spans="1:9">
      <c r="A75" s="38" t="s">
        <v>120</v>
      </c>
      <c r="B75" s="38" t="s">
        <v>352</v>
      </c>
      <c r="C75" s="46">
        <v>2023</v>
      </c>
      <c r="D75" s="55">
        <v>3828175</v>
      </c>
      <c r="E75" s="55">
        <v>1446187</v>
      </c>
      <c r="F75" s="55">
        <v>2381989</v>
      </c>
      <c r="G75" s="182">
        <v>7.43</v>
      </c>
      <c r="H75" s="182">
        <v>14.32</v>
      </c>
      <c r="I75" s="182">
        <v>5.89</v>
      </c>
    </row>
    <row r="76" spans="1:9">
      <c r="A76" s="38" t="s">
        <v>121</v>
      </c>
      <c r="B76" s="38" t="s">
        <v>150</v>
      </c>
      <c r="C76" s="46">
        <v>2000</v>
      </c>
      <c r="D76" s="55">
        <v>1988813</v>
      </c>
      <c r="E76" s="55">
        <v>662545</v>
      </c>
      <c r="F76" s="55">
        <v>1326268</v>
      </c>
      <c r="G76" s="182">
        <v>14.11</v>
      </c>
      <c r="H76" s="182">
        <v>17.23</v>
      </c>
      <c r="I76" s="182">
        <v>12.94</v>
      </c>
    </row>
    <row r="77" spans="1:9">
      <c r="A77" s="38" t="s">
        <v>121</v>
      </c>
      <c r="B77" s="38" t="s">
        <v>150</v>
      </c>
      <c r="C77" s="46">
        <v>2005</v>
      </c>
      <c r="D77" s="55">
        <v>2287883</v>
      </c>
      <c r="E77" s="55">
        <v>775998</v>
      </c>
      <c r="F77" s="55">
        <v>1511885</v>
      </c>
      <c r="G77" s="182">
        <v>14.26</v>
      </c>
      <c r="H77" s="182">
        <v>18.73</v>
      </c>
      <c r="I77" s="182">
        <v>12.71</v>
      </c>
    </row>
    <row r="78" spans="1:9">
      <c r="A78" s="38" t="s">
        <v>121</v>
      </c>
      <c r="B78" s="38" t="s">
        <v>150</v>
      </c>
      <c r="C78" s="46">
        <v>2010</v>
      </c>
      <c r="D78" s="55">
        <v>2711431</v>
      </c>
      <c r="E78" s="55">
        <v>1095251</v>
      </c>
      <c r="F78" s="55">
        <v>1616180</v>
      </c>
      <c r="G78" s="182">
        <v>14.63</v>
      </c>
      <c r="H78" s="182">
        <v>24.16</v>
      </c>
      <c r="I78" s="182">
        <v>11.55</v>
      </c>
    </row>
    <row r="79" spans="1:9">
      <c r="A79" s="38" t="s">
        <v>121</v>
      </c>
      <c r="B79" s="38" t="s">
        <v>150</v>
      </c>
      <c r="C79" s="46">
        <v>2015</v>
      </c>
      <c r="D79" s="55">
        <v>3126681</v>
      </c>
      <c r="E79" s="55">
        <v>1164992</v>
      </c>
      <c r="F79" s="55">
        <v>1961689</v>
      </c>
      <c r="G79" s="182">
        <v>17.100000000000001</v>
      </c>
      <c r="H79" s="182">
        <v>27.21</v>
      </c>
      <c r="I79" s="182">
        <v>13.86</v>
      </c>
    </row>
    <row r="80" spans="1:9">
      <c r="A80" s="38" t="s">
        <v>121</v>
      </c>
      <c r="B80" s="38" t="s">
        <v>150</v>
      </c>
      <c r="C80" s="46">
        <v>2020</v>
      </c>
      <c r="D80" s="55">
        <v>3437112</v>
      </c>
      <c r="E80" s="55">
        <v>1233283</v>
      </c>
      <c r="F80" s="55">
        <v>2203829</v>
      </c>
      <c r="G80" s="182">
        <v>18.62</v>
      </c>
      <c r="H80" s="182">
        <v>29.87</v>
      </c>
      <c r="I80" s="182">
        <v>14.99</v>
      </c>
    </row>
    <row r="81" spans="1:9">
      <c r="A81" s="38" t="s">
        <v>121</v>
      </c>
      <c r="B81" s="38" t="s">
        <v>150</v>
      </c>
      <c r="C81" s="46">
        <v>2023</v>
      </c>
      <c r="D81" s="55">
        <v>3568794</v>
      </c>
      <c r="E81" s="55">
        <v>1256132</v>
      </c>
      <c r="F81" s="55">
        <v>2312662</v>
      </c>
      <c r="G81" s="182">
        <v>19.16</v>
      </c>
      <c r="H81" s="182">
        <v>30.64</v>
      </c>
      <c r="I81" s="182">
        <v>15.51</v>
      </c>
    </row>
    <row r="82" spans="1:9">
      <c r="A82" s="38" t="s">
        <v>121</v>
      </c>
      <c r="B82" s="38" t="s">
        <v>351</v>
      </c>
      <c r="C82" s="46">
        <v>2000</v>
      </c>
      <c r="D82" s="55">
        <v>910612</v>
      </c>
      <c r="E82" s="55">
        <v>283214</v>
      </c>
      <c r="F82" s="55">
        <v>627398</v>
      </c>
      <c r="G82" s="182">
        <v>24.16</v>
      </c>
      <c r="H82" s="182">
        <v>23.83</v>
      </c>
      <c r="I82" s="182">
        <v>24.32</v>
      </c>
    </row>
    <row r="83" spans="1:9">
      <c r="A83" s="38" t="s">
        <v>121</v>
      </c>
      <c r="B83" s="38" t="s">
        <v>351</v>
      </c>
      <c r="C83" s="46">
        <v>2005</v>
      </c>
      <c r="D83" s="55">
        <v>1043673</v>
      </c>
      <c r="E83" s="55">
        <v>320634</v>
      </c>
      <c r="F83" s="55">
        <v>723039</v>
      </c>
      <c r="G83" s="182">
        <v>24.79</v>
      </c>
      <c r="H83" s="182">
        <v>26.04</v>
      </c>
      <c r="I83" s="182">
        <v>24.28</v>
      </c>
    </row>
    <row r="84" spans="1:9">
      <c r="A84" s="38" t="s">
        <v>121</v>
      </c>
      <c r="B84" s="38" t="s">
        <v>351</v>
      </c>
      <c r="C84" s="46">
        <v>2010</v>
      </c>
      <c r="D84" s="55">
        <v>1159700</v>
      </c>
      <c r="E84" s="55">
        <v>416133</v>
      </c>
      <c r="F84" s="55">
        <v>743567</v>
      </c>
      <c r="G84" s="182">
        <v>25.75</v>
      </c>
      <c r="H84" s="182">
        <v>34.03</v>
      </c>
      <c r="I84" s="182">
        <v>22.67</v>
      </c>
    </row>
    <row r="85" spans="1:9">
      <c r="A85" s="38" t="s">
        <v>121</v>
      </c>
      <c r="B85" s="38" t="s">
        <v>351</v>
      </c>
      <c r="C85" s="46">
        <v>2015</v>
      </c>
      <c r="D85" s="55">
        <v>1217027</v>
      </c>
      <c r="E85" s="55">
        <v>371691</v>
      </c>
      <c r="F85" s="55">
        <v>845336</v>
      </c>
      <c r="G85" s="182">
        <v>32.08</v>
      </c>
      <c r="H85" s="182">
        <v>40.4</v>
      </c>
      <c r="I85" s="182">
        <v>29.13</v>
      </c>
    </row>
    <row r="86" spans="1:9">
      <c r="A86" s="38" t="s">
        <v>121</v>
      </c>
      <c r="B86" s="38" t="s">
        <v>351</v>
      </c>
      <c r="C86" s="46">
        <v>2020</v>
      </c>
      <c r="D86" s="55">
        <v>1241894</v>
      </c>
      <c r="E86" s="55">
        <v>342361</v>
      </c>
      <c r="F86" s="55">
        <v>899533</v>
      </c>
      <c r="G86" s="182">
        <v>36.17</v>
      </c>
      <c r="H86" s="182">
        <v>46.3</v>
      </c>
      <c r="I86" s="182">
        <v>32.54</v>
      </c>
    </row>
    <row r="87" spans="1:9">
      <c r="A87" s="38" t="s">
        <v>121</v>
      </c>
      <c r="B87" s="38" t="s">
        <v>351</v>
      </c>
      <c r="C87" s="46">
        <v>2023</v>
      </c>
      <c r="D87" s="55">
        <v>1220740</v>
      </c>
      <c r="E87" s="55">
        <v>311234</v>
      </c>
      <c r="F87" s="55">
        <v>909506</v>
      </c>
      <c r="G87" s="182">
        <v>36.020000000000003</v>
      </c>
      <c r="H87" s="182">
        <v>45.04</v>
      </c>
      <c r="I87" s="182">
        <v>32.770000000000003</v>
      </c>
    </row>
    <row r="88" spans="1:9">
      <c r="A88" s="38" t="s">
        <v>121</v>
      </c>
      <c r="B88" s="38" t="s">
        <v>352</v>
      </c>
      <c r="C88" s="46">
        <v>2000</v>
      </c>
      <c r="D88" s="55">
        <v>1078201</v>
      </c>
      <c r="E88" s="55">
        <v>379331</v>
      </c>
      <c r="F88" s="55">
        <v>698870</v>
      </c>
      <c r="G88" s="182">
        <v>10.43</v>
      </c>
      <c r="H88" s="182">
        <v>14.28</v>
      </c>
      <c r="I88" s="182">
        <v>9.1</v>
      </c>
    </row>
    <row r="89" spans="1:9">
      <c r="A89" s="38" t="s">
        <v>121</v>
      </c>
      <c r="B89" s="38" t="s">
        <v>352</v>
      </c>
      <c r="C89" s="46">
        <v>2005</v>
      </c>
      <c r="D89" s="55">
        <v>1244210</v>
      </c>
      <c r="E89" s="55">
        <v>455364</v>
      </c>
      <c r="F89" s="55">
        <v>788847</v>
      </c>
      <c r="G89" s="182">
        <v>10.5</v>
      </c>
      <c r="H89" s="182">
        <v>15.63</v>
      </c>
      <c r="I89" s="182">
        <v>8.83</v>
      </c>
    </row>
    <row r="90" spans="1:9">
      <c r="A90" s="38" t="s">
        <v>121</v>
      </c>
      <c r="B90" s="38" t="s">
        <v>352</v>
      </c>
      <c r="C90" s="46">
        <v>2010</v>
      </c>
      <c r="D90" s="55">
        <v>1551731</v>
      </c>
      <c r="E90" s="55">
        <v>679117</v>
      </c>
      <c r="F90" s="55">
        <v>872613</v>
      </c>
      <c r="G90" s="182">
        <v>11.06</v>
      </c>
      <c r="H90" s="182">
        <v>20.51</v>
      </c>
      <c r="I90" s="182">
        <v>8.14</v>
      </c>
    </row>
    <row r="91" spans="1:9">
      <c r="A91" s="38" t="s">
        <v>121</v>
      </c>
      <c r="B91" s="38" t="s">
        <v>352</v>
      </c>
      <c r="C91" s="46">
        <v>2015</v>
      </c>
      <c r="D91" s="55">
        <v>1909654</v>
      </c>
      <c r="E91" s="55">
        <v>793301</v>
      </c>
      <c r="F91" s="55">
        <v>1116354</v>
      </c>
      <c r="G91" s="182">
        <v>13.1</v>
      </c>
      <c r="H91" s="182">
        <v>23.34</v>
      </c>
      <c r="I91" s="182">
        <v>9.91</v>
      </c>
    </row>
    <row r="92" spans="1:9">
      <c r="A92" s="38" t="s">
        <v>121</v>
      </c>
      <c r="B92" s="38" t="s">
        <v>352</v>
      </c>
      <c r="C92" s="46">
        <v>2020</v>
      </c>
      <c r="D92" s="55">
        <v>2195218</v>
      </c>
      <c r="E92" s="55">
        <v>890922</v>
      </c>
      <c r="F92" s="55">
        <v>1304296</v>
      </c>
      <c r="G92" s="182">
        <v>14.45</v>
      </c>
      <c r="H92" s="182">
        <v>25.57</v>
      </c>
      <c r="I92" s="182">
        <v>10.94</v>
      </c>
    </row>
    <row r="93" spans="1:9">
      <c r="A93" s="38" t="s">
        <v>121</v>
      </c>
      <c r="B93" s="38" t="s">
        <v>352</v>
      </c>
      <c r="C93" s="46">
        <v>2023</v>
      </c>
      <c r="D93" s="55">
        <v>2348054</v>
      </c>
      <c r="E93" s="55">
        <v>944899</v>
      </c>
      <c r="F93" s="55">
        <v>1403155</v>
      </c>
      <c r="G93" s="182">
        <v>15.22</v>
      </c>
      <c r="H93" s="182">
        <v>26.87</v>
      </c>
      <c r="I93" s="182">
        <v>11.62</v>
      </c>
    </row>
  </sheetData>
  <mergeCells count="3">
    <mergeCell ref="D1:I1"/>
    <mergeCell ref="D2:F2"/>
    <mergeCell ref="G2:I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E4B5-ADA2-4AAE-B7DC-1AAEBC318AEC}">
  <sheetPr>
    <tabColor rgb="FF00B0F0"/>
  </sheetPr>
  <dimension ref="A1:AQ160"/>
  <sheetViews>
    <sheetView topLeftCell="D1" zoomScale="70" zoomScaleNormal="70" workbookViewId="0">
      <selection activeCell="C13" sqref="C13"/>
    </sheetView>
  </sheetViews>
  <sheetFormatPr defaultRowHeight="14.5"/>
  <cols>
    <col min="1" max="1" width="25.1796875" customWidth="1"/>
    <col min="2" max="3" width="18.1796875" customWidth="1"/>
    <col min="4" max="43" width="8.81640625" style="240"/>
  </cols>
  <sheetData>
    <row r="1" spans="1:3" ht="76.5" customHeight="1">
      <c r="A1" s="28" t="s">
        <v>462</v>
      </c>
      <c r="B1" s="28" t="s">
        <v>60</v>
      </c>
      <c r="C1" s="28" t="s">
        <v>61</v>
      </c>
    </row>
    <row r="2" spans="1:3">
      <c r="A2" s="13" t="s">
        <v>67</v>
      </c>
      <c r="B2" s="18">
        <v>3.6</v>
      </c>
      <c r="C2" s="18">
        <v>13.56</v>
      </c>
    </row>
    <row r="3" spans="1:3">
      <c r="A3" s="13" t="s">
        <v>66</v>
      </c>
      <c r="B3" s="18">
        <v>9.1833333333333336</v>
      </c>
      <c r="C3" s="18">
        <v>12.616666666666667</v>
      </c>
    </row>
    <row r="4" spans="1:3">
      <c r="A4" s="13" t="s">
        <v>110</v>
      </c>
      <c r="B4" s="18">
        <v>15</v>
      </c>
      <c r="C4" s="18">
        <v>34</v>
      </c>
    </row>
    <row r="5" spans="1:3">
      <c r="A5" s="13" t="s">
        <v>65</v>
      </c>
      <c r="B5" s="18">
        <v>17.102857142857143</v>
      </c>
      <c r="C5" s="18">
        <v>29.86571428571429</v>
      </c>
    </row>
    <row r="6" spans="1:3">
      <c r="A6" s="13" t="s">
        <v>63</v>
      </c>
      <c r="B6" s="18">
        <v>17.28409090909091</v>
      </c>
      <c r="C6" s="18">
        <v>34.088636363636368</v>
      </c>
    </row>
    <row r="7" spans="1:3">
      <c r="A7" s="13" t="s">
        <v>62</v>
      </c>
      <c r="B7" s="18">
        <v>20.250000000000004</v>
      </c>
      <c r="C7" s="18">
        <v>47.368749999999999</v>
      </c>
    </row>
    <row r="8" spans="1:3">
      <c r="A8" s="13" t="s">
        <v>64</v>
      </c>
      <c r="B8" s="18">
        <v>34.788235294117641</v>
      </c>
      <c r="C8" s="18">
        <v>44.176470588235297</v>
      </c>
    </row>
    <row r="9" spans="1:3" s="240" customFormat="1"/>
    <row r="10" spans="1:3" s="240" customFormat="1"/>
    <row r="11" spans="1:3" s="240" customFormat="1"/>
    <row r="12" spans="1:3" s="240" customFormat="1"/>
    <row r="13" spans="1:3" s="240" customFormat="1">
      <c r="A13" s="351" t="s">
        <v>605</v>
      </c>
      <c r="B13" s="172" t="s">
        <v>610</v>
      </c>
    </row>
    <row r="14" spans="1:3" s="240" customFormat="1"/>
    <row r="15" spans="1:3" s="240" customFormat="1"/>
    <row r="16" spans="1:3" s="240" customFormat="1"/>
    <row r="17" s="240" customFormat="1"/>
    <row r="18" s="240" customFormat="1"/>
    <row r="19" s="240" customFormat="1"/>
    <row r="20" s="240" customFormat="1"/>
    <row r="21" s="240" customFormat="1"/>
    <row r="22" s="240" customFormat="1"/>
    <row r="23" s="240" customFormat="1"/>
    <row r="24" s="240" customFormat="1"/>
    <row r="25" s="240" customFormat="1"/>
    <row r="26" s="240" customFormat="1"/>
    <row r="27" s="240" customFormat="1"/>
    <row r="28" s="240" customFormat="1"/>
    <row r="29" s="240" customFormat="1"/>
    <row r="30" s="240" customFormat="1"/>
    <row r="31" s="240" customFormat="1"/>
    <row r="32" s="240" customFormat="1"/>
    <row r="33" s="240" customFormat="1"/>
    <row r="34" s="240" customFormat="1"/>
    <row r="35" s="240" customFormat="1"/>
    <row r="36" s="240" customFormat="1"/>
    <row r="37" s="240" customFormat="1"/>
    <row r="38" s="240" customFormat="1"/>
    <row r="39" s="240" customFormat="1"/>
    <row r="40" s="240" customFormat="1"/>
    <row r="41" s="240" customFormat="1"/>
    <row r="42" s="240" customFormat="1"/>
    <row r="43" s="240" customFormat="1"/>
    <row r="44" s="240" customFormat="1"/>
    <row r="45" s="240" customFormat="1"/>
    <row r="46" s="240" customFormat="1"/>
    <row r="47" s="240" customFormat="1"/>
    <row r="48" s="240" customFormat="1"/>
    <row r="49" s="240" customFormat="1"/>
    <row r="50" s="240" customFormat="1"/>
    <row r="51" s="240" customFormat="1"/>
    <row r="52" s="240" customFormat="1"/>
    <row r="53" s="240" customFormat="1"/>
    <row r="54" s="240" customFormat="1"/>
    <row r="55" s="240" customFormat="1"/>
    <row r="56" s="240" customFormat="1"/>
    <row r="57" s="240" customFormat="1"/>
    <row r="58" s="240" customFormat="1"/>
    <row r="59" s="240" customFormat="1"/>
    <row r="60" s="240" customFormat="1"/>
    <row r="61" s="240" customFormat="1"/>
    <row r="62" s="240" customFormat="1"/>
    <row r="63" s="240" customFormat="1"/>
    <row r="64" s="240" customFormat="1"/>
    <row r="65" s="240" customFormat="1"/>
    <row r="66" s="240" customFormat="1"/>
    <row r="67" s="240" customFormat="1"/>
    <row r="68" s="240" customFormat="1"/>
    <row r="69" s="240" customFormat="1"/>
    <row r="70" s="240" customFormat="1"/>
    <row r="71" s="240" customFormat="1"/>
    <row r="72" s="240" customFormat="1"/>
    <row r="73" s="240" customFormat="1"/>
    <row r="74" s="240" customFormat="1"/>
    <row r="75" s="240" customFormat="1"/>
    <row r="76" s="240" customFormat="1"/>
    <row r="77" s="240" customFormat="1"/>
    <row r="78" s="240" customFormat="1"/>
    <row r="79" s="240" customFormat="1"/>
    <row r="80" s="240" customFormat="1"/>
    <row r="81" s="240" customFormat="1"/>
    <row r="82" s="240" customFormat="1"/>
    <row r="83" s="240" customFormat="1"/>
    <row r="84" s="240" customFormat="1"/>
    <row r="85" s="240" customFormat="1"/>
    <row r="86" s="240" customFormat="1"/>
    <row r="87" s="240" customFormat="1"/>
    <row r="88" s="240" customFormat="1"/>
    <row r="89" s="240" customFormat="1"/>
    <row r="90" s="240" customFormat="1"/>
    <row r="91" s="240" customFormat="1"/>
    <row r="92" s="240" customFormat="1"/>
    <row r="93" s="240" customFormat="1"/>
    <row r="94" s="240" customFormat="1"/>
    <row r="95" s="240" customFormat="1"/>
    <row r="96" s="240" customFormat="1"/>
    <row r="97" s="240" customFormat="1"/>
    <row r="98" s="240" customFormat="1"/>
    <row r="99" s="240" customFormat="1"/>
    <row r="100" s="240" customFormat="1"/>
    <row r="101" s="240" customFormat="1"/>
    <row r="102" s="240" customFormat="1"/>
    <row r="103" s="240" customFormat="1"/>
    <row r="104" s="240" customFormat="1"/>
    <row r="105" s="240" customFormat="1"/>
    <row r="106" s="240" customFormat="1"/>
    <row r="107" s="240" customFormat="1"/>
    <row r="108" s="240" customFormat="1"/>
    <row r="109" s="240" customFormat="1"/>
    <row r="110" s="240" customFormat="1"/>
    <row r="111" s="240" customFormat="1"/>
    <row r="112" s="240" customFormat="1"/>
    <row r="113" s="240" customFormat="1"/>
    <row r="114" s="240" customFormat="1"/>
    <row r="115" s="240" customFormat="1"/>
    <row r="116" s="240" customFormat="1"/>
    <row r="117" s="240" customFormat="1"/>
    <row r="118" s="240" customFormat="1"/>
    <row r="119" s="240" customFormat="1"/>
    <row r="120" s="240" customFormat="1"/>
    <row r="121" s="240" customFormat="1"/>
    <row r="122" s="240" customFormat="1"/>
    <row r="123" s="240" customFormat="1"/>
    <row r="124" s="240" customFormat="1"/>
    <row r="125" s="240" customFormat="1"/>
    <row r="126" s="240" customFormat="1"/>
    <row r="127" s="240" customFormat="1"/>
    <row r="128" s="240" customFormat="1"/>
    <row r="129" s="240" customFormat="1"/>
    <row r="130" s="240" customFormat="1"/>
    <row r="131" s="240" customFormat="1"/>
    <row r="132" s="240" customFormat="1"/>
    <row r="133" s="240" customFormat="1"/>
    <row r="134" s="240" customFormat="1"/>
    <row r="135" s="240" customFormat="1"/>
    <row r="136" s="240" customFormat="1"/>
    <row r="137" s="240" customFormat="1"/>
    <row r="138" s="240" customFormat="1"/>
    <row r="139" s="240" customFormat="1"/>
    <row r="140" s="240" customFormat="1"/>
    <row r="141" s="240" customFormat="1"/>
    <row r="142" s="240" customFormat="1"/>
    <row r="143" s="240" customFormat="1"/>
    <row r="144" s="240" customFormat="1"/>
    <row r="145" s="240" customFormat="1"/>
    <row r="146" s="240" customFormat="1"/>
    <row r="147" s="240" customFormat="1"/>
    <row r="148" s="240" customFormat="1"/>
    <row r="149" s="240" customFormat="1"/>
    <row r="150" s="240" customFormat="1"/>
    <row r="151" s="240" customFormat="1"/>
    <row r="152" s="240" customFormat="1"/>
    <row r="153" s="240" customFormat="1"/>
    <row r="154" s="240" customFormat="1"/>
    <row r="155" s="240" customFormat="1"/>
    <row r="156" s="240" customFormat="1"/>
    <row r="157" s="240" customFormat="1"/>
    <row r="158" s="240" customFormat="1"/>
    <row r="159" s="240" customFormat="1"/>
    <row r="160" s="240" customFormat="1"/>
  </sheetData>
  <sortState xmlns:xlrd2="http://schemas.microsoft.com/office/spreadsheetml/2017/richdata2" ref="A2:C8">
    <sortCondition ref="B2:B8"/>
  </sortState>
  <hyperlinks>
    <hyperlink ref="B13" r:id="rId1" display="https://www.enterprisesurveys.org/en/enterprisesurveys" xr:uid="{E8BFCDDB-A137-4A80-A985-238E00D4B612}"/>
  </hyperlinks>
  <pageMargins left="0.7" right="0.7" top="0.75" bottom="0.75" header="0.3" footer="0.3"/>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2BA98-97C2-40EC-A008-66A9683B555B}">
  <sheetPr codeName="Sheet46">
    <tabColor theme="6" tint="0.39997558519241921"/>
  </sheetPr>
  <dimension ref="A1:H38"/>
  <sheetViews>
    <sheetView showGridLines="0" zoomScale="70" zoomScaleNormal="70" workbookViewId="0">
      <pane xSplit="1" ySplit="3" topLeftCell="B4" activePane="bottomRight" state="frozen"/>
      <selection pane="topRight"/>
      <selection pane="bottomLeft"/>
      <selection pane="bottomRight" activeCell="G10" sqref="G10"/>
    </sheetView>
  </sheetViews>
  <sheetFormatPr defaultRowHeight="14.5"/>
  <cols>
    <col min="1" max="1" width="12.453125" bestFit="1" customWidth="1"/>
    <col min="2" max="2" width="11" bestFit="1" customWidth="1"/>
    <col min="3" max="8" width="11.54296875" customWidth="1"/>
  </cols>
  <sheetData>
    <row r="1" spans="1:8" ht="16">
      <c r="A1" t="s">
        <v>101</v>
      </c>
      <c r="C1" s="515" t="s">
        <v>353</v>
      </c>
      <c r="D1" s="515"/>
      <c r="E1" s="515"/>
      <c r="F1" s="515"/>
      <c r="G1" s="515"/>
      <c r="H1" s="515"/>
    </row>
    <row r="2" spans="1:8">
      <c r="C2" s="513" t="s">
        <v>102</v>
      </c>
      <c r="D2" s="513"/>
      <c r="E2" s="513"/>
      <c r="F2" s="516" t="s">
        <v>112</v>
      </c>
      <c r="G2" s="516"/>
      <c r="H2" s="516"/>
    </row>
    <row r="3" spans="1:8">
      <c r="A3" s="35" t="s">
        <v>113</v>
      </c>
      <c r="B3" s="44" t="s">
        <v>104</v>
      </c>
      <c r="C3" s="178" t="s">
        <v>114</v>
      </c>
      <c r="D3" s="178" t="s">
        <v>115</v>
      </c>
      <c r="E3" s="178" t="s">
        <v>116</v>
      </c>
      <c r="F3" s="183" t="s">
        <v>114</v>
      </c>
      <c r="G3" s="183" t="s">
        <v>115</v>
      </c>
      <c r="H3" s="183" t="s">
        <v>116</v>
      </c>
    </row>
    <row r="4" spans="1:8">
      <c r="A4" s="38" t="s">
        <v>67</v>
      </c>
      <c r="B4" s="46">
        <v>2005</v>
      </c>
      <c r="C4" s="55">
        <v>21652926</v>
      </c>
      <c r="D4" s="55">
        <v>15033823</v>
      </c>
      <c r="E4" s="55">
        <v>6619102</v>
      </c>
      <c r="F4" s="108">
        <v>32.51</v>
      </c>
      <c r="G4" s="108">
        <v>46.43</v>
      </c>
      <c r="H4" s="108">
        <v>19.34</v>
      </c>
    </row>
    <row r="5" spans="1:8">
      <c r="A5" s="38" t="s">
        <v>67</v>
      </c>
      <c r="B5" s="46">
        <v>2010</v>
      </c>
      <c r="C5" s="55">
        <v>23155018</v>
      </c>
      <c r="D5" s="55">
        <v>16500512</v>
      </c>
      <c r="E5" s="55">
        <v>6654506</v>
      </c>
      <c r="F5" s="108">
        <v>31.61</v>
      </c>
      <c r="G5" s="108">
        <v>46.81</v>
      </c>
      <c r="H5" s="108">
        <v>17.510000000000002</v>
      </c>
    </row>
    <row r="6" spans="1:8">
      <c r="A6" s="38" t="s">
        <v>67</v>
      </c>
      <c r="B6" s="46">
        <v>2015</v>
      </c>
      <c r="C6" s="55">
        <v>22238964</v>
      </c>
      <c r="D6" s="55">
        <v>14906066</v>
      </c>
      <c r="E6" s="55">
        <v>7332899</v>
      </c>
      <c r="F6" s="108">
        <v>30.19</v>
      </c>
      <c r="G6" s="108">
        <v>41.91</v>
      </c>
      <c r="H6" s="108">
        <v>19.25</v>
      </c>
    </row>
    <row r="7" spans="1:8">
      <c r="A7" s="38" t="s">
        <v>67</v>
      </c>
      <c r="B7" s="46">
        <v>2020</v>
      </c>
      <c r="C7" s="55">
        <v>24774556</v>
      </c>
      <c r="D7" s="55">
        <v>16443107</v>
      </c>
      <c r="E7" s="55">
        <v>8331450</v>
      </c>
      <c r="F7" s="108">
        <v>31.9</v>
      </c>
      <c r="G7" s="108">
        <v>43.53</v>
      </c>
      <c r="H7" s="108">
        <v>20.89</v>
      </c>
    </row>
    <row r="8" spans="1:8">
      <c r="A8" s="38" t="s">
        <v>67</v>
      </c>
      <c r="B8" s="46">
        <v>2021</v>
      </c>
      <c r="C8" s="55">
        <v>24309212</v>
      </c>
      <c r="D8" s="55">
        <v>16165185</v>
      </c>
      <c r="E8" s="55">
        <v>8144028</v>
      </c>
      <c r="F8" s="108">
        <v>30.99</v>
      </c>
      <c r="G8" s="108">
        <v>42.21</v>
      </c>
      <c r="H8" s="108">
        <v>20.28</v>
      </c>
    </row>
    <row r="9" spans="1:8">
      <c r="A9" s="38" t="s">
        <v>67</v>
      </c>
      <c r="B9" s="46">
        <v>2022</v>
      </c>
      <c r="C9" s="55">
        <v>24426658</v>
      </c>
      <c r="D9" s="55">
        <v>16398129</v>
      </c>
      <c r="E9" s="55">
        <v>8028529</v>
      </c>
      <c r="F9" s="108">
        <v>30.58</v>
      </c>
      <c r="G9" s="108">
        <v>41.98</v>
      </c>
      <c r="H9" s="108">
        <v>19.670000000000002</v>
      </c>
    </row>
    <row r="10" spans="1:8">
      <c r="A10" s="38" t="s">
        <v>67</v>
      </c>
      <c r="B10" s="46">
        <v>2023</v>
      </c>
      <c r="C10" s="55">
        <v>25055838</v>
      </c>
      <c r="D10" s="55">
        <v>16824598</v>
      </c>
      <c r="E10" s="55">
        <v>8231238</v>
      </c>
      <c r="F10" s="108">
        <v>30.66</v>
      </c>
      <c r="G10" s="261">
        <v>42.06</v>
      </c>
      <c r="H10" s="271">
        <v>19.72</v>
      </c>
    </row>
    <row r="11" spans="1:8">
      <c r="A11" s="38" t="s">
        <v>144</v>
      </c>
      <c r="B11" s="46">
        <v>2005</v>
      </c>
      <c r="C11" s="55">
        <v>1383008</v>
      </c>
      <c r="D11" s="55">
        <v>857354</v>
      </c>
      <c r="E11" s="55">
        <v>525654</v>
      </c>
      <c r="F11" s="108">
        <v>21.92</v>
      </c>
      <c r="G11" s="108">
        <v>29.97</v>
      </c>
      <c r="H11" s="108">
        <v>15.24</v>
      </c>
    </row>
    <row r="12" spans="1:8">
      <c r="A12" s="38" t="s">
        <v>144</v>
      </c>
      <c r="B12" s="46">
        <v>2010</v>
      </c>
      <c r="C12" s="55">
        <v>1824836</v>
      </c>
      <c r="D12" s="55">
        <v>1098229</v>
      </c>
      <c r="E12" s="55">
        <v>726607</v>
      </c>
      <c r="F12" s="108">
        <v>20.100000000000001</v>
      </c>
      <c r="G12" s="108">
        <v>28.99</v>
      </c>
      <c r="H12" s="108">
        <v>13.73</v>
      </c>
    </row>
    <row r="13" spans="1:8">
      <c r="A13" s="38" t="s">
        <v>144</v>
      </c>
      <c r="B13" s="46">
        <v>2015</v>
      </c>
      <c r="C13" s="55">
        <v>1316406</v>
      </c>
      <c r="D13" s="55">
        <v>870693</v>
      </c>
      <c r="E13" s="55">
        <v>445713</v>
      </c>
      <c r="F13" s="108">
        <v>15.92</v>
      </c>
      <c r="G13" s="108">
        <v>24.42</v>
      </c>
      <c r="H13" s="108">
        <v>9.48</v>
      </c>
    </row>
    <row r="14" spans="1:8">
      <c r="A14" s="38" t="s">
        <v>144</v>
      </c>
      <c r="B14" s="46">
        <v>2020</v>
      </c>
      <c r="C14" s="55">
        <v>1455745</v>
      </c>
      <c r="D14" s="55">
        <v>895267</v>
      </c>
      <c r="E14" s="55">
        <v>560478</v>
      </c>
      <c r="F14" s="108">
        <v>18.46</v>
      </c>
      <c r="G14" s="108">
        <v>25.47</v>
      </c>
      <c r="H14" s="108">
        <v>12.83</v>
      </c>
    </row>
    <row r="15" spans="1:8">
      <c r="A15" s="38" t="s">
        <v>144</v>
      </c>
      <c r="B15" s="46">
        <v>2021</v>
      </c>
      <c r="C15" s="55">
        <v>1277512</v>
      </c>
      <c r="D15" s="55">
        <v>791164</v>
      </c>
      <c r="E15" s="55">
        <v>486347</v>
      </c>
      <c r="F15" s="108">
        <v>17.14</v>
      </c>
      <c r="G15" s="108">
        <v>23.07</v>
      </c>
      <c r="H15" s="108">
        <v>12.09</v>
      </c>
    </row>
    <row r="16" spans="1:8">
      <c r="A16" s="38" t="s">
        <v>144</v>
      </c>
      <c r="B16" s="46">
        <v>2022</v>
      </c>
      <c r="C16" s="55">
        <v>1224929</v>
      </c>
      <c r="D16" s="55">
        <v>789651</v>
      </c>
      <c r="E16" s="55">
        <v>435279</v>
      </c>
      <c r="F16" s="108">
        <v>16.45</v>
      </c>
      <c r="G16" s="108">
        <v>22.66</v>
      </c>
      <c r="H16" s="108">
        <v>10.99</v>
      </c>
    </row>
    <row r="17" spans="1:8">
      <c r="A17" s="38" t="s">
        <v>144</v>
      </c>
      <c r="B17" s="46">
        <v>2023</v>
      </c>
      <c r="C17" s="55">
        <v>1189288</v>
      </c>
      <c r="D17" s="55">
        <v>780631</v>
      </c>
      <c r="E17" s="55">
        <v>408657</v>
      </c>
      <c r="F17" s="108">
        <v>15.64</v>
      </c>
      <c r="G17" s="108">
        <v>21.72</v>
      </c>
      <c r="H17" s="108">
        <v>10.19</v>
      </c>
    </row>
    <row r="18" spans="1:8">
      <c r="A18" s="38" t="s">
        <v>119</v>
      </c>
      <c r="B18" s="46">
        <v>2005</v>
      </c>
      <c r="C18" s="55">
        <v>5102733</v>
      </c>
      <c r="D18" s="55">
        <v>3466408</v>
      </c>
      <c r="E18" s="55">
        <v>1636326</v>
      </c>
      <c r="F18" s="108">
        <v>29.56</v>
      </c>
      <c r="G18" s="108">
        <v>40.78</v>
      </c>
      <c r="H18" s="108">
        <v>18.68</v>
      </c>
    </row>
    <row r="19" spans="1:8">
      <c r="A19" s="38" t="s">
        <v>119</v>
      </c>
      <c r="B19" s="46">
        <v>2010</v>
      </c>
      <c r="C19" s="55">
        <v>4517722</v>
      </c>
      <c r="D19" s="55">
        <v>3173266</v>
      </c>
      <c r="E19" s="55">
        <v>1344456</v>
      </c>
      <c r="F19" s="108">
        <v>26.74</v>
      </c>
      <c r="G19" s="108">
        <v>38.26</v>
      </c>
      <c r="H19" s="108">
        <v>15.63</v>
      </c>
    </row>
    <row r="20" spans="1:8">
      <c r="A20" s="38" t="s">
        <v>119</v>
      </c>
      <c r="B20" s="46">
        <v>2015</v>
      </c>
      <c r="C20" s="55">
        <v>3845561</v>
      </c>
      <c r="D20" s="55">
        <v>2547051</v>
      </c>
      <c r="E20" s="55">
        <v>1298511</v>
      </c>
      <c r="F20" s="108">
        <v>24.95</v>
      </c>
      <c r="G20" s="108">
        <v>33.729999999999997</v>
      </c>
      <c r="H20" s="108">
        <v>16.52</v>
      </c>
    </row>
    <row r="21" spans="1:8">
      <c r="A21" s="38" t="s">
        <v>119</v>
      </c>
      <c r="B21" s="46">
        <v>2020</v>
      </c>
      <c r="C21" s="55">
        <v>3641139</v>
      </c>
      <c r="D21" s="55">
        <v>2292126</v>
      </c>
      <c r="E21" s="55">
        <v>1349013</v>
      </c>
      <c r="F21" s="108">
        <v>24.84</v>
      </c>
      <c r="G21" s="108">
        <v>31.86</v>
      </c>
      <c r="H21" s="108">
        <v>18.079999999999998</v>
      </c>
    </row>
    <row r="22" spans="1:8">
      <c r="A22" s="38" t="s">
        <v>119</v>
      </c>
      <c r="B22" s="46">
        <v>2021</v>
      </c>
      <c r="C22" s="55">
        <v>3501526</v>
      </c>
      <c r="D22" s="55">
        <v>2233651</v>
      </c>
      <c r="E22" s="55">
        <v>1267875</v>
      </c>
      <c r="F22" s="108">
        <v>23.75</v>
      </c>
      <c r="G22" s="108">
        <v>30.87</v>
      </c>
      <c r="H22" s="108">
        <v>16.89</v>
      </c>
    </row>
    <row r="23" spans="1:8">
      <c r="A23" s="38" t="s">
        <v>119</v>
      </c>
      <c r="B23" s="46">
        <v>2022</v>
      </c>
      <c r="C23" s="55">
        <v>3462296</v>
      </c>
      <c r="D23" s="55">
        <v>2234363</v>
      </c>
      <c r="E23" s="55">
        <v>1227933</v>
      </c>
      <c r="F23" s="108">
        <v>23.23</v>
      </c>
      <c r="G23" s="108">
        <v>30.55</v>
      </c>
      <c r="H23" s="108">
        <v>16.170000000000002</v>
      </c>
    </row>
    <row r="24" spans="1:8">
      <c r="A24" s="38" t="s">
        <v>119</v>
      </c>
      <c r="B24" s="46">
        <v>2023</v>
      </c>
      <c r="C24" s="55">
        <v>3504177</v>
      </c>
      <c r="D24" s="55">
        <v>2271132</v>
      </c>
      <c r="E24" s="55">
        <v>1233044</v>
      </c>
      <c r="F24" s="108">
        <v>23.1</v>
      </c>
      <c r="G24" s="108">
        <v>30.55</v>
      </c>
      <c r="H24" s="108">
        <v>15.94</v>
      </c>
    </row>
    <row r="25" spans="1:8">
      <c r="A25" s="38" t="s">
        <v>120</v>
      </c>
      <c r="B25" s="46">
        <v>2005</v>
      </c>
      <c r="C25" s="55">
        <v>9811176</v>
      </c>
      <c r="D25" s="55">
        <v>7023653</v>
      </c>
      <c r="E25" s="55">
        <v>2787523</v>
      </c>
      <c r="F25" s="108">
        <v>33.92</v>
      </c>
      <c r="G25" s="108">
        <v>49.69</v>
      </c>
      <c r="H25" s="108">
        <v>18.84</v>
      </c>
    </row>
    <row r="26" spans="1:8">
      <c r="A26" s="38" t="s">
        <v>120</v>
      </c>
      <c r="B26" s="46">
        <v>2010</v>
      </c>
      <c r="C26" s="55">
        <v>10694493</v>
      </c>
      <c r="D26" s="55">
        <v>7935180</v>
      </c>
      <c r="E26" s="55">
        <v>2759313</v>
      </c>
      <c r="F26" s="108">
        <v>34.25</v>
      </c>
      <c r="G26" s="108">
        <v>51.98</v>
      </c>
      <c r="H26" s="108">
        <v>17.29</v>
      </c>
    </row>
    <row r="27" spans="1:8">
      <c r="A27" s="38" t="s">
        <v>120</v>
      </c>
      <c r="B27" s="46">
        <v>2015</v>
      </c>
      <c r="C27" s="55">
        <v>10189869</v>
      </c>
      <c r="D27" s="55">
        <v>6762829</v>
      </c>
      <c r="E27" s="55">
        <v>3427040</v>
      </c>
      <c r="F27" s="108">
        <v>31.5</v>
      </c>
      <c r="G27" s="108">
        <v>42.99</v>
      </c>
      <c r="H27" s="108">
        <v>20.63</v>
      </c>
    </row>
    <row r="28" spans="1:8">
      <c r="A28" s="38" t="s">
        <v>120</v>
      </c>
      <c r="B28" s="46">
        <v>2020</v>
      </c>
      <c r="C28" s="55">
        <v>11861373</v>
      </c>
      <c r="D28" s="55">
        <v>7970983</v>
      </c>
      <c r="E28" s="55">
        <v>3890390</v>
      </c>
      <c r="F28" s="108">
        <v>33.54</v>
      </c>
      <c r="G28" s="108">
        <v>46.1</v>
      </c>
      <c r="H28" s="108">
        <v>21.53</v>
      </c>
    </row>
    <row r="29" spans="1:8">
      <c r="A29" s="38" t="s">
        <v>120</v>
      </c>
      <c r="B29" s="46">
        <v>2021</v>
      </c>
      <c r="C29" s="55">
        <v>11642955</v>
      </c>
      <c r="D29" s="55">
        <v>7797401</v>
      </c>
      <c r="E29" s="55">
        <v>3845554</v>
      </c>
      <c r="F29" s="108">
        <v>32.26</v>
      </c>
      <c r="G29" s="108">
        <v>44.17</v>
      </c>
      <c r="H29" s="108">
        <v>20.86</v>
      </c>
    </row>
    <row r="30" spans="1:8">
      <c r="A30" s="38" t="s">
        <v>120</v>
      </c>
      <c r="B30" s="46">
        <v>2022</v>
      </c>
      <c r="C30" s="55">
        <v>11731744</v>
      </c>
      <c r="D30" s="55">
        <v>7929756</v>
      </c>
      <c r="E30" s="55">
        <v>3801988</v>
      </c>
      <c r="F30" s="108">
        <v>31.8</v>
      </c>
      <c r="G30" s="108">
        <v>43.92</v>
      </c>
      <c r="H30" s="108">
        <v>20.190000000000001</v>
      </c>
    </row>
    <row r="31" spans="1:8">
      <c r="A31" s="38" t="s">
        <v>120</v>
      </c>
      <c r="B31" s="46">
        <v>2023</v>
      </c>
      <c r="C31" s="55">
        <v>12059786</v>
      </c>
      <c r="D31" s="55">
        <v>8163637</v>
      </c>
      <c r="E31" s="55">
        <v>3896148</v>
      </c>
      <c r="F31" s="108">
        <v>31.92</v>
      </c>
      <c r="G31" s="108">
        <v>44.13</v>
      </c>
      <c r="H31" s="108">
        <v>20.21</v>
      </c>
    </row>
    <row r="32" spans="1:8">
      <c r="A32" s="38" t="s">
        <v>121</v>
      </c>
      <c r="B32" s="46">
        <v>2005</v>
      </c>
      <c r="C32" s="55">
        <v>5356007</v>
      </c>
      <c r="D32" s="55">
        <v>3686409</v>
      </c>
      <c r="E32" s="55">
        <v>1669599</v>
      </c>
      <c r="F32" s="108">
        <v>37.97</v>
      </c>
      <c r="G32" s="108">
        <v>53.57</v>
      </c>
      <c r="H32" s="108">
        <v>23.11</v>
      </c>
    </row>
    <row r="33" spans="1:8">
      <c r="A33" s="38" t="s">
        <v>121</v>
      </c>
      <c r="B33" s="46">
        <v>2010</v>
      </c>
      <c r="C33" s="55">
        <v>6117965</v>
      </c>
      <c r="D33" s="55">
        <v>4293836</v>
      </c>
      <c r="E33" s="55">
        <v>1824129</v>
      </c>
      <c r="F33" s="108">
        <v>38.14</v>
      </c>
      <c r="G33" s="108">
        <v>54.34</v>
      </c>
      <c r="H33" s="108">
        <v>22.41</v>
      </c>
    </row>
    <row r="34" spans="1:8">
      <c r="A34" s="38" t="s">
        <v>121</v>
      </c>
      <c r="B34" s="46">
        <v>2015</v>
      </c>
      <c r="C34" s="55">
        <v>6887129</v>
      </c>
      <c r="D34" s="55">
        <v>4725493</v>
      </c>
      <c r="E34" s="55">
        <v>2161636</v>
      </c>
      <c r="F34" s="108">
        <v>39.04</v>
      </c>
      <c r="G34" s="108">
        <v>54.19</v>
      </c>
      <c r="H34" s="108">
        <v>24.23</v>
      </c>
    </row>
    <row r="35" spans="1:8">
      <c r="A35" s="38" t="s">
        <v>121</v>
      </c>
      <c r="B35" s="46">
        <v>2020</v>
      </c>
      <c r="C35" s="55">
        <v>7816299</v>
      </c>
      <c r="D35" s="55">
        <v>5284731</v>
      </c>
      <c r="E35" s="55">
        <v>2531569</v>
      </c>
      <c r="F35" s="108">
        <v>39.57</v>
      </c>
      <c r="G35" s="108">
        <v>54.09</v>
      </c>
      <c r="H35" s="108">
        <v>25.36</v>
      </c>
    </row>
    <row r="36" spans="1:8">
      <c r="A36" s="38" t="s">
        <v>121</v>
      </c>
      <c r="B36" s="46">
        <v>2021</v>
      </c>
      <c r="C36" s="55">
        <v>7887221</v>
      </c>
      <c r="D36" s="55">
        <v>5342969</v>
      </c>
      <c r="E36" s="55">
        <v>2544252</v>
      </c>
      <c r="F36" s="108">
        <v>39.11</v>
      </c>
      <c r="G36" s="108">
        <v>53.57</v>
      </c>
      <c r="H36" s="108">
        <v>24.96</v>
      </c>
    </row>
    <row r="37" spans="1:8">
      <c r="A37" s="38" t="s">
        <v>121</v>
      </c>
      <c r="B37" s="46">
        <v>2022</v>
      </c>
      <c r="C37" s="55">
        <v>8007688</v>
      </c>
      <c r="D37" s="55">
        <v>5444358</v>
      </c>
      <c r="E37" s="55">
        <v>2563330</v>
      </c>
      <c r="F37" s="108">
        <v>38.79</v>
      </c>
      <c r="G37" s="108">
        <v>53.33</v>
      </c>
      <c r="H37" s="108">
        <v>24.56</v>
      </c>
    </row>
    <row r="38" spans="1:8">
      <c r="A38" s="38" t="s">
        <v>121</v>
      </c>
      <c r="B38" s="46">
        <v>2023</v>
      </c>
      <c r="C38" s="55">
        <v>8302587</v>
      </c>
      <c r="D38" s="55">
        <v>5609198</v>
      </c>
      <c r="E38" s="55">
        <v>2693389</v>
      </c>
      <c r="F38" s="108">
        <v>39.200000000000003</v>
      </c>
      <c r="G38" s="108">
        <v>53.57</v>
      </c>
      <c r="H38" s="108">
        <v>25.15</v>
      </c>
    </row>
  </sheetData>
  <mergeCells count="3">
    <mergeCell ref="C1:H1"/>
    <mergeCell ref="C2:E2"/>
    <mergeCell ref="F2:H2"/>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2927C-4D26-4E2A-A8EE-988FEBE4036D}">
  <sheetPr codeName="Sheet47">
    <tabColor theme="6" tint="0.39997558519241921"/>
  </sheetPr>
  <dimension ref="A1:E18"/>
  <sheetViews>
    <sheetView showGridLines="0" zoomScale="70" zoomScaleNormal="70" workbookViewId="0">
      <pane xSplit="1" ySplit="2" topLeftCell="B3" activePane="bottomRight" state="frozen"/>
      <selection pane="topRight"/>
      <selection pane="bottomLeft"/>
      <selection pane="bottomRight" activeCell="C1" sqref="C1:E1"/>
    </sheetView>
  </sheetViews>
  <sheetFormatPr defaultRowHeight="14.5"/>
  <cols>
    <col min="1" max="1" width="18.54296875" bestFit="1" customWidth="1"/>
    <col min="2" max="2" width="11" bestFit="1" customWidth="1"/>
    <col min="3" max="5" width="16.453125" customWidth="1"/>
  </cols>
  <sheetData>
    <row r="1" spans="1:5" ht="30" customHeight="1">
      <c r="A1" s="184" t="s">
        <v>90</v>
      </c>
      <c r="B1" s="63"/>
      <c r="C1" s="518" t="s">
        <v>354</v>
      </c>
      <c r="D1" s="518"/>
      <c r="E1" s="518"/>
    </row>
    <row r="2" spans="1:5">
      <c r="A2" s="64" t="s">
        <v>113</v>
      </c>
      <c r="B2" s="64" t="s">
        <v>104</v>
      </c>
      <c r="C2" s="185" t="s">
        <v>114</v>
      </c>
      <c r="D2" s="185" t="s">
        <v>115</v>
      </c>
      <c r="E2" s="185" t="s">
        <v>116</v>
      </c>
    </row>
    <row r="3" spans="1:5">
      <c r="A3" s="66" t="s">
        <v>67</v>
      </c>
      <c r="B3" s="71">
        <v>2011</v>
      </c>
      <c r="C3" s="14">
        <v>22.482209000000001</v>
      </c>
      <c r="D3" s="14">
        <v>13.927160000000001</v>
      </c>
      <c r="E3" s="14">
        <v>30.662181</v>
      </c>
    </row>
    <row r="4" spans="1:5">
      <c r="A4" s="66" t="s">
        <v>67</v>
      </c>
      <c r="B4" s="71">
        <v>2014</v>
      </c>
      <c r="C4" s="14">
        <v>30.470655000000001</v>
      </c>
      <c r="D4" s="14">
        <v>22.217189000000001</v>
      </c>
      <c r="E4" s="14">
        <v>38.027191999999999</v>
      </c>
    </row>
    <row r="5" spans="1:5">
      <c r="A5" s="66" t="s">
        <v>67</v>
      </c>
      <c r="B5" s="71">
        <v>2017</v>
      </c>
      <c r="C5" s="14">
        <v>37.225445000000001</v>
      </c>
      <c r="D5" s="14">
        <v>25.676611999999999</v>
      </c>
      <c r="E5" s="14">
        <v>48.400658999999997</v>
      </c>
    </row>
    <row r="6" spans="1:5">
      <c r="A6" s="66" t="s">
        <v>67</v>
      </c>
      <c r="B6" s="71">
        <v>2021</v>
      </c>
      <c r="C6" s="14">
        <v>37.752372999999999</v>
      </c>
      <c r="D6" s="14">
        <v>28.909659999999999</v>
      </c>
      <c r="E6" s="14">
        <v>45.801796000000003</v>
      </c>
    </row>
    <row r="7" spans="1:5">
      <c r="A7" s="66" t="s">
        <v>144</v>
      </c>
      <c r="B7" s="71">
        <v>2011</v>
      </c>
      <c r="C7" s="14">
        <v>55.448600999999996</v>
      </c>
      <c r="D7" s="14">
        <v>32.916407</v>
      </c>
      <c r="E7" s="14">
        <v>73.804550000000006</v>
      </c>
    </row>
    <row r="8" spans="1:5">
      <c r="A8" s="66" t="s">
        <v>144</v>
      </c>
      <c r="B8" s="71">
        <v>2014</v>
      </c>
      <c r="C8" s="14">
        <v>73.465528000000006</v>
      </c>
      <c r="D8" s="14">
        <v>62.688907</v>
      </c>
      <c r="E8" s="14">
        <v>80.152818999999994</v>
      </c>
    </row>
    <row r="9" spans="1:5">
      <c r="A9" s="66" t="s">
        <v>144</v>
      </c>
      <c r="B9" s="71">
        <v>2017</v>
      </c>
      <c r="C9" s="14">
        <v>76.367311000000001</v>
      </c>
      <c r="D9" s="14">
        <v>62.973430999999998</v>
      </c>
      <c r="E9" s="14">
        <v>84.00658</v>
      </c>
    </row>
    <row r="10" spans="1:5">
      <c r="A10" s="66" t="s">
        <v>144</v>
      </c>
      <c r="B10" s="71">
        <v>2021</v>
      </c>
      <c r="C10" s="14">
        <v>77.098589000000004</v>
      </c>
      <c r="D10" s="14">
        <v>67.583224999999999</v>
      </c>
      <c r="E10" s="14">
        <v>82.725514000000004</v>
      </c>
    </row>
    <row r="11" spans="1:5">
      <c r="A11" s="66" t="s">
        <v>120</v>
      </c>
      <c r="B11" s="71">
        <v>2011</v>
      </c>
      <c r="C11" s="14">
        <v>13.729850000000001</v>
      </c>
      <c r="D11" s="14">
        <v>9.8647869000000004</v>
      </c>
      <c r="E11" s="14">
        <v>17.495272</v>
      </c>
    </row>
    <row r="12" spans="1:5">
      <c r="A12" s="66" t="s">
        <v>120</v>
      </c>
      <c r="B12" s="71">
        <v>2014</v>
      </c>
      <c r="C12" s="14">
        <v>15.888787000000001</v>
      </c>
      <c r="D12" s="14">
        <v>10.768146</v>
      </c>
      <c r="E12" s="14">
        <v>20.914494000000001</v>
      </c>
    </row>
    <row r="13" spans="1:5">
      <c r="A13" s="66" t="s">
        <v>120</v>
      </c>
      <c r="B13" s="71">
        <v>2017</v>
      </c>
      <c r="C13" s="14">
        <v>31.491540000000001</v>
      </c>
      <c r="D13" s="14">
        <v>25.275302</v>
      </c>
      <c r="E13" s="14">
        <v>37.712721999999999</v>
      </c>
    </row>
    <row r="14" spans="1:5">
      <c r="A14" s="66" t="s">
        <v>120</v>
      </c>
      <c r="B14" s="71">
        <v>2021</v>
      </c>
      <c r="C14" s="14">
        <v>26.479654</v>
      </c>
      <c r="D14" s="14">
        <v>22.285855000000002</v>
      </c>
      <c r="E14" s="14">
        <v>30.529313999999999</v>
      </c>
    </row>
    <row r="15" spans="1:5">
      <c r="A15" s="66" t="s">
        <v>121</v>
      </c>
      <c r="B15" s="71">
        <v>2011</v>
      </c>
      <c r="C15" s="14">
        <v>33.286112000000003</v>
      </c>
      <c r="D15" s="14">
        <v>20.407297</v>
      </c>
      <c r="E15" s="14">
        <v>46.127823999999997</v>
      </c>
    </row>
    <row r="16" spans="1:5">
      <c r="A16" s="66" t="s">
        <v>121</v>
      </c>
      <c r="B16" s="71">
        <v>2014</v>
      </c>
      <c r="C16" s="14">
        <v>45.092140999999998</v>
      </c>
      <c r="D16" s="14">
        <v>35.528390999999999</v>
      </c>
      <c r="E16" s="14">
        <v>54.704467999999999</v>
      </c>
    </row>
    <row r="17" spans="1:5">
      <c r="A17" s="66" t="s">
        <v>121</v>
      </c>
      <c r="B17" s="71">
        <v>2017</v>
      </c>
      <c r="C17" s="14">
        <v>32.435065999999999</v>
      </c>
      <c r="D17" s="14">
        <v>20.435625000000002</v>
      </c>
      <c r="E17" s="14">
        <v>45.134188000000002</v>
      </c>
    </row>
    <row r="18" spans="1:5">
      <c r="A18" s="66" t="s">
        <v>121</v>
      </c>
      <c r="B18" s="71">
        <v>2021</v>
      </c>
      <c r="C18" s="14">
        <v>43.232250000000001</v>
      </c>
      <c r="D18" s="14">
        <v>31.472629999999999</v>
      </c>
      <c r="E18" s="14">
        <v>54.922854000000001</v>
      </c>
    </row>
  </sheetData>
  <mergeCells count="1">
    <mergeCell ref="C1:E1"/>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BA979-4CFC-4C90-8B19-C2E9A2F73BA9}">
  <sheetPr>
    <tabColor theme="4" tint="0.39997558519241921"/>
  </sheetPr>
  <dimension ref="A1:F7"/>
  <sheetViews>
    <sheetView showGridLines="0" zoomScale="70" zoomScaleNormal="70" workbookViewId="0">
      <selection activeCell="A4" sqref="A4"/>
    </sheetView>
  </sheetViews>
  <sheetFormatPr defaultColWidth="8.81640625" defaultRowHeight="14.5"/>
  <cols>
    <col min="1" max="1" width="35.1796875" style="31" bestFit="1" customWidth="1"/>
    <col min="2" max="4" width="11.1796875" style="31" customWidth="1"/>
    <col min="5" max="5" width="8.81640625" style="31"/>
    <col min="6" max="6" width="30.54296875" style="31" bestFit="1" customWidth="1"/>
    <col min="7" max="16384" width="8.81640625" style="31"/>
  </cols>
  <sheetData>
    <row r="1" spans="1:6" ht="31.4" customHeight="1">
      <c r="B1" s="518" t="s">
        <v>355</v>
      </c>
      <c r="C1" s="518"/>
      <c r="D1" s="518"/>
      <c r="F1" s="238" t="s">
        <v>226</v>
      </c>
    </row>
    <row r="2" spans="1:6">
      <c r="A2" s="66" t="s">
        <v>356</v>
      </c>
      <c r="B2" s="235" t="s">
        <v>114</v>
      </c>
      <c r="C2" s="235" t="s">
        <v>115</v>
      </c>
      <c r="D2" s="236" t="s">
        <v>116</v>
      </c>
    </row>
    <row r="3" spans="1:6">
      <c r="A3" s="66" t="s">
        <v>357</v>
      </c>
      <c r="B3" s="237">
        <v>0.53622555202907984</v>
      </c>
      <c r="C3" s="237">
        <v>0.30044111516740585</v>
      </c>
      <c r="D3" s="237">
        <v>0.85276222229003906</v>
      </c>
    </row>
    <row r="4" spans="1:6">
      <c r="A4" s="66" t="s">
        <v>358</v>
      </c>
      <c r="B4" s="237">
        <v>0.58487554338243275</v>
      </c>
      <c r="C4" s="237">
        <v>0.27369889259338381</v>
      </c>
      <c r="D4" s="237">
        <v>0.90319333394368484</v>
      </c>
    </row>
    <row r="5" spans="1:6">
      <c r="A5" s="66" t="s">
        <v>359</v>
      </c>
      <c r="B5" s="237">
        <v>0.56237333085801866</v>
      </c>
      <c r="C5" s="237">
        <v>0.28676777998606368</v>
      </c>
      <c r="D5" s="237">
        <v>0.88216443379720044</v>
      </c>
    </row>
    <row r="7" spans="1:6">
      <c r="A7" s="31" t="s">
        <v>360</v>
      </c>
    </row>
  </sheetData>
  <mergeCells count="1">
    <mergeCell ref="B1:D1"/>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D8059-88AC-4437-A468-4D4379606307}">
  <sheetPr>
    <tabColor rgb="FF00B0F0"/>
  </sheetPr>
  <dimension ref="A1:M13"/>
  <sheetViews>
    <sheetView zoomScale="80" zoomScaleNormal="80" workbookViewId="0">
      <selection activeCell="I18" sqref="I18"/>
    </sheetView>
  </sheetViews>
  <sheetFormatPr defaultRowHeight="14.5"/>
  <cols>
    <col min="1" max="8" width="8.81640625"/>
    <col min="9" max="9" width="28.453125" customWidth="1"/>
    <col min="10" max="30" width="8.81640625"/>
  </cols>
  <sheetData>
    <row r="1" spans="1:13" ht="25" customHeight="1">
      <c r="A1" s="336" t="s">
        <v>595</v>
      </c>
    </row>
    <row r="3" spans="1:13" ht="30" customHeight="1">
      <c r="A3" s="382" t="s">
        <v>599</v>
      </c>
      <c r="B3" s="382" t="s">
        <v>600</v>
      </c>
      <c r="C3" s="382" t="s">
        <v>589</v>
      </c>
      <c r="D3" s="382" t="s">
        <v>181</v>
      </c>
      <c r="E3" s="382" t="s">
        <v>149</v>
      </c>
      <c r="F3" s="382" t="s">
        <v>590</v>
      </c>
      <c r="G3" s="382" t="s">
        <v>591</v>
      </c>
      <c r="H3" s="382" t="s">
        <v>592</v>
      </c>
      <c r="I3" s="382" t="s">
        <v>54</v>
      </c>
    </row>
    <row r="4" spans="1:13">
      <c r="A4" s="66" t="s">
        <v>601</v>
      </c>
      <c r="B4" s="66" t="s">
        <v>602</v>
      </c>
      <c r="C4" s="66" t="s">
        <v>593</v>
      </c>
      <c r="D4" s="66" t="s">
        <v>3</v>
      </c>
      <c r="E4" s="66" t="s">
        <v>150</v>
      </c>
      <c r="F4" s="66" t="s">
        <v>603</v>
      </c>
      <c r="G4" s="66">
        <v>2020</v>
      </c>
      <c r="H4" s="381">
        <v>69.313000000000002</v>
      </c>
      <c r="I4" s="35" t="s">
        <v>594</v>
      </c>
    </row>
    <row r="5" spans="1:13">
      <c r="A5" s="66" t="s">
        <v>601</v>
      </c>
      <c r="B5" s="66" t="s">
        <v>602</v>
      </c>
      <c r="C5" s="66" t="s">
        <v>593</v>
      </c>
      <c r="D5" s="66" t="s">
        <v>3</v>
      </c>
      <c r="E5" s="66" t="s">
        <v>150</v>
      </c>
      <c r="F5" s="66" t="s">
        <v>195</v>
      </c>
      <c r="G5" s="66">
        <v>2020</v>
      </c>
      <c r="H5" s="381">
        <v>70.721999999999994</v>
      </c>
      <c r="I5" s="35" t="s">
        <v>594</v>
      </c>
    </row>
    <row r="6" spans="1:13">
      <c r="A6" s="66" t="s">
        <v>601</v>
      </c>
      <c r="B6" s="66" t="s">
        <v>602</v>
      </c>
      <c r="C6" s="66" t="s">
        <v>593</v>
      </c>
      <c r="D6" s="66" t="s">
        <v>3</v>
      </c>
      <c r="E6" s="66" t="s">
        <v>150</v>
      </c>
      <c r="F6" s="66" t="s">
        <v>192</v>
      </c>
      <c r="G6" s="66">
        <v>2020</v>
      </c>
      <c r="H6" s="381">
        <v>68.251999999999995</v>
      </c>
      <c r="I6" s="35" t="s">
        <v>594</v>
      </c>
    </row>
    <row r="7" spans="1:13">
      <c r="A7" s="66" t="s">
        <v>601</v>
      </c>
      <c r="B7" s="66" t="s">
        <v>602</v>
      </c>
      <c r="C7" s="66" t="s">
        <v>593</v>
      </c>
      <c r="D7" s="66" t="s">
        <v>2</v>
      </c>
      <c r="E7" s="66" t="s">
        <v>150</v>
      </c>
      <c r="F7" s="66" t="s">
        <v>603</v>
      </c>
      <c r="G7" s="66">
        <v>2020</v>
      </c>
      <c r="H7" s="381">
        <v>19.63</v>
      </c>
      <c r="I7" s="35" t="s">
        <v>594</v>
      </c>
      <c r="M7" s="58"/>
    </row>
    <row r="8" spans="1:13">
      <c r="A8" s="66" t="s">
        <v>601</v>
      </c>
      <c r="B8" s="66" t="s">
        <v>602</v>
      </c>
      <c r="C8" s="66" t="s">
        <v>593</v>
      </c>
      <c r="D8" s="66" t="s">
        <v>2</v>
      </c>
      <c r="E8" s="66" t="s">
        <v>150</v>
      </c>
      <c r="F8" s="66" t="s">
        <v>195</v>
      </c>
      <c r="G8" s="66">
        <v>2020</v>
      </c>
      <c r="H8" s="381">
        <v>18.373999999999999</v>
      </c>
      <c r="I8" s="35" t="s">
        <v>594</v>
      </c>
      <c r="M8" s="58"/>
    </row>
    <row r="9" spans="1:13">
      <c r="A9" s="66" t="s">
        <v>601</v>
      </c>
      <c r="B9" s="66" t="s">
        <v>602</v>
      </c>
      <c r="C9" s="66" t="s">
        <v>593</v>
      </c>
      <c r="D9" s="66" t="s">
        <v>2</v>
      </c>
      <c r="E9" s="66" t="s">
        <v>150</v>
      </c>
      <c r="F9" s="66" t="s">
        <v>192</v>
      </c>
      <c r="G9" s="66">
        <v>2020</v>
      </c>
      <c r="H9" s="381">
        <v>20.632999999999999</v>
      </c>
      <c r="I9" s="35" t="s">
        <v>594</v>
      </c>
      <c r="M9" s="58"/>
    </row>
    <row r="10" spans="1:13">
      <c r="L10" s="329"/>
      <c r="M10" s="58"/>
    </row>
    <row r="11" spans="1:13">
      <c r="A11" s="336" t="s">
        <v>596</v>
      </c>
      <c r="L11" s="329"/>
    </row>
    <row r="12" spans="1:13">
      <c r="L12" s="329"/>
    </row>
    <row r="13" spans="1:13">
      <c r="L13" s="329"/>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7A6C9-AFAB-4F92-BFE2-ED42077ABED2}">
  <sheetPr>
    <tabColor theme="0" tint="-0.499984740745262"/>
  </sheetPr>
  <dimension ref="A1:AY12"/>
  <sheetViews>
    <sheetView zoomScale="70" zoomScaleNormal="70" workbookViewId="0">
      <selection activeCell="G12" sqref="G12:G13"/>
    </sheetView>
  </sheetViews>
  <sheetFormatPr defaultRowHeight="14.5"/>
  <cols>
    <col min="1" max="1" width="11.54296875" style="240" customWidth="1"/>
    <col min="2" max="5" width="8.81640625" style="240"/>
    <col min="6" max="6" width="11.54296875" style="240" customWidth="1"/>
    <col min="7" max="51" width="8.81640625" style="240"/>
  </cols>
  <sheetData>
    <row r="1" spans="1:8" ht="16.5" customHeight="1">
      <c r="A1" s="240" t="s">
        <v>150</v>
      </c>
      <c r="F1" s="240" t="s">
        <v>351</v>
      </c>
    </row>
    <row r="2" spans="1:8" ht="32">
      <c r="A2" s="28" t="s">
        <v>113</v>
      </c>
      <c r="B2" s="28" t="s">
        <v>2</v>
      </c>
      <c r="C2" s="28" t="s">
        <v>3</v>
      </c>
      <c r="F2" s="28" t="s">
        <v>113</v>
      </c>
      <c r="G2" s="28" t="s">
        <v>2</v>
      </c>
      <c r="H2" s="28" t="s">
        <v>3</v>
      </c>
    </row>
    <row r="3" spans="1:8">
      <c r="A3" s="13" t="s">
        <v>121</v>
      </c>
      <c r="B3" s="278">
        <v>30.64</v>
      </c>
      <c r="C3" s="278">
        <v>15.51</v>
      </c>
      <c r="F3" s="13" t="s">
        <v>121</v>
      </c>
      <c r="G3" s="278">
        <v>45.04</v>
      </c>
      <c r="H3" s="278">
        <v>32.770000000000003</v>
      </c>
    </row>
    <row r="4" spans="1:8">
      <c r="A4" s="13" t="s">
        <v>119</v>
      </c>
      <c r="B4" s="278">
        <v>18.93</v>
      </c>
      <c r="C4" s="278">
        <v>10.59</v>
      </c>
      <c r="F4" s="13" t="s">
        <v>119</v>
      </c>
      <c r="G4" s="278">
        <v>37.43</v>
      </c>
      <c r="H4" s="278">
        <v>27.96</v>
      </c>
    </row>
    <row r="5" spans="1:8">
      <c r="A5" s="13" t="s">
        <v>67</v>
      </c>
      <c r="B5" s="278">
        <v>19.54</v>
      </c>
      <c r="C5" s="278">
        <v>8.6199999999999992</v>
      </c>
      <c r="F5" s="13" t="s">
        <v>67</v>
      </c>
      <c r="G5" s="278">
        <v>40.14</v>
      </c>
      <c r="H5" s="278">
        <v>23.39</v>
      </c>
    </row>
    <row r="6" spans="1:8">
      <c r="A6" s="13" t="s">
        <v>120</v>
      </c>
      <c r="B6" s="278">
        <v>18.93</v>
      </c>
      <c r="C6" s="278">
        <v>8.36</v>
      </c>
      <c r="F6" s="13" t="s">
        <v>120</v>
      </c>
      <c r="G6" s="278">
        <v>44.45</v>
      </c>
      <c r="H6" s="278">
        <v>20.73</v>
      </c>
    </row>
    <row r="7" spans="1:8">
      <c r="A7" s="13" t="s">
        <v>144</v>
      </c>
      <c r="B7" s="278">
        <v>10.87</v>
      </c>
      <c r="C7" s="278">
        <v>1.74</v>
      </c>
      <c r="F7" s="13" t="s">
        <v>144</v>
      </c>
      <c r="G7" s="278">
        <v>23.51</v>
      </c>
      <c r="H7" s="278">
        <v>8.8000000000000007</v>
      </c>
    </row>
    <row r="8" spans="1:8">
      <c r="A8" s="13" t="s">
        <v>110</v>
      </c>
      <c r="B8" s="278">
        <v>5.29</v>
      </c>
      <c r="C8" s="278">
        <v>5.04</v>
      </c>
      <c r="F8" s="13" t="s">
        <v>110</v>
      </c>
      <c r="G8" s="278">
        <v>12.94</v>
      </c>
      <c r="H8" s="278">
        <v>13.5</v>
      </c>
    </row>
    <row r="12" spans="1:8">
      <c r="A12" s="357" t="s">
        <v>25</v>
      </c>
      <c r="B12" s="355" t="s">
        <v>626</v>
      </c>
    </row>
  </sheetData>
  <hyperlinks>
    <hyperlink ref="B12" r:id="rId1" display="https://ilostat.ilo.org/data/" xr:uid="{0F726A21-7443-460C-817A-42A34D69819C}"/>
  </hyperlinks>
  <pageMargins left="0.7" right="0.7" top="0.75" bottom="0.75" header="0.3" footer="0.3"/>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A99CC-7A66-437D-86B3-2C2AE0C58DE4}">
  <sheetPr>
    <tabColor theme="0" tint="-0.499984740745262"/>
  </sheetPr>
  <dimension ref="A1:AR9"/>
  <sheetViews>
    <sheetView zoomScale="70" zoomScaleNormal="70" workbookViewId="0">
      <selection activeCell="A9" sqref="A9:B9"/>
    </sheetView>
  </sheetViews>
  <sheetFormatPr defaultRowHeight="14.5"/>
  <cols>
    <col min="1" max="1" width="13.1796875" style="240" customWidth="1"/>
    <col min="2" max="44" width="8.81640625" style="240"/>
  </cols>
  <sheetData>
    <row r="1" spans="1:5">
      <c r="A1" s="519"/>
      <c r="B1" s="521">
        <v>2000</v>
      </c>
      <c r="C1" s="521"/>
      <c r="D1" s="521">
        <v>2022</v>
      </c>
      <c r="E1" s="521"/>
    </row>
    <row r="2" spans="1:5">
      <c r="A2" s="520"/>
      <c r="B2" s="305" t="s">
        <v>2</v>
      </c>
      <c r="C2" s="305" t="s">
        <v>3</v>
      </c>
      <c r="D2" s="305" t="s">
        <v>2</v>
      </c>
      <c r="E2" s="305" t="s">
        <v>3</v>
      </c>
    </row>
    <row r="3" spans="1:5" ht="27.65" customHeight="1">
      <c r="A3" s="362" t="s">
        <v>347</v>
      </c>
      <c r="B3" s="277">
        <v>23.26868</v>
      </c>
      <c r="C3" s="277">
        <v>7.7033129999999996</v>
      </c>
      <c r="D3" s="277">
        <v>10.907209999999999</v>
      </c>
      <c r="E3" s="277">
        <v>2.7636180000000001</v>
      </c>
    </row>
    <row r="4" spans="1:5" ht="27.65" customHeight="1">
      <c r="A4" s="362" t="s">
        <v>348</v>
      </c>
      <c r="B4" s="277">
        <v>46.652990000000003</v>
      </c>
      <c r="C4" s="277">
        <v>36.78895</v>
      </c>
      <c r="D4" s="277">
        <v>30.614190000000001</v>
      </c>
      <c r="E4" s="277">
        <v>29.02289</v>
      </c>
    </row>
    <row r="9" spans="1:5">
      <c r="A9" s="357" t="s">
        <v>25</v>
      </c>
      <c r="B9" s="355" t="s">
        <v>626</v>
      </c>
    </row>
  </sheetData>
  <mergeCells count="3">
    <mergeCell ref="A1:A2"/>
    <mergeCell ref="B1:C1"/>
    <mergeCell ref="D1:E1"/>
  </mergeCells>
  <hyperlinks>
    <hyperlink ref="B9" r:id="rId1" display="https://ilostat.ilo.org/data/" xr:uid="{E123AC2F-92FE-4BA3-8BFF-4192C5C6A829}"/>
  </hyperlinks>
  <pageMargins left="0.7" right="0.7" top="0.75" bottom="0.75" header="0.3" footer="0.3"/>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01EFE-A895-4951-9CFC-D0337147BC92}">
  <sheetPr>
    <tabColor theme="0" tint="-0.499984740745262"/>
  </sheetPr>
  <dimension ref="A1:AJ11"/>
  <sheetViews>
    <sheetView zoomScale="70" zoomScaleNormal="70" workbookViewId="0"/>
  </sheetViews>
  <sheetFormatPr defaultRowHeight="14.5"/>
  <cols>
    <col min="1" max="1" width="13.1796875" style="240" customWidth="1"/>
    <col min="2" max="36" width="8.81640625" style="240"/>
  </cols>
  <sheetData>
    <row r="1" spans="1:3" ht="32">
      <c r="A1" s="28" t="s">
        <v>113</v>
      </c>
      <c r="B1" s="28" t="s">
        <v>2</v>
      </c>
      <c r="C1" s="28" t="s">
        <v>3</v>
      </c>
    </row>
    <row r="2" spans="1:3">
      <c r="A2" s="306" t="s">
        <v>121</v>
      </c>
      <c r="B2" s="275">
        <v>0.535699996948242</v>
      </c>
      <c r="C2" s="275">
        <v>0.251499996185302</v>
      </c>
    </row>
    <row r="3" spans="1:3">
      <c r="A3" s="306" t="s">
        <v>120</v>
      </c>
      <c r="B3" s="275">
        <v>0.44130001068115199</v>
      </c>
      <c r="C3" s="275">
        <v>0.20209999084472599</v>
      </c>
    </row>
    <row r="4" spans="1:3">
      <c r="A4" s="306" t="s">
        <v>67</v>
      </c>
      <c r="B4" s="275">
        <v>0.42060001373291001</v>
      </c>
      <c r="C4" s="275">
        <v>0.197199993133544</v>
      </c>
    </row>
    <row r="5" spans="1:3">
      <c r="A5" s="306" t="s">
        <v>119</v>
      </c>
      <c r="B5" s="275">
        <v>0.30549999237060499</v>
      </c>
      <c r="C5" s="275">
        <v>0.15939999580383299</v>
      </c>
    </row>
    <row r="6" spans="1:3">
      <c r="A6" s="306" t="s">
        <v>110</v>
      </c>
      <c r="B6" s="275">
        <v>0.2974</v>
      </c>
      <c r="C6" s="275">
        <v>0.14069999999999999</v>
      </c>
    </row>
    <row r="7" spans="1:3">
      <c r="A7" s="306" t="s">
        <v>144</v>
      </c>
      <c r="B7" s="275">
        <v>0.21719999313354399</v>
      </c>
      <c r="C7" s="275">
        <v>0.10189999580383299</v>
      </c>
    </row>
    <row r="11" spans="1:3">
      <c r="A11" s="357" t="s">
        <v>25</v>
      </c>
      <c r="B11" s="172" t="s">
        <v>626</v>
      </c>
    </row>
  </sheetData>
  <hyperlinks>
    <hyperlink ref="B11" r:id="rId1" display="https://ilostat.ilo.org/data/" xr:uid="{5B70951D-FCE9-4559-BAB9-AA06CE1BAFD7}"/>
  </hyperlinks>
  <pageMargins left="0.7" right="0.7" top="0.75" bottom="0.75" header="0.3" footer="0.3"/>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8FAF2-3431-42A3-A195-73E0733B5BED}">
  <sheetPr>
    <tabColor theme="0" tint="-0.499984740745262"/>
  </sheetPr>
  <dimension ref="A1:AB8"/>
  <sheetViews>
    <sheetView zoomScale="70" zoomScaleNormal="70" workbookViewId="0">
      <selection activeCell="A17" sqref="A17"/>
    </sheetView>
  </sheetViews>
  <sheetFormatPr defaultRowHeight="14.5"/>
  <cols>
    <col min="1" max="1" width="12.1796875" style="240" customWidth="1"/>
    <col min="2" max="28" width="8.81640625" style="240"/>
  </cols>
  <sheetData>
    <row r="1" spans="1:5" ht="16">
      <c r="A1" s="522"/>
      <c r="B1" s="483">
        <v>2011</v>
      </c>
      <c r="C1" s="484"/>
      <c r="D1" s="483">
        <v>2021</v>
      </c>
      <c r="E1" s="484"/>
    </row>
    <row r="2" spans="1:5" ht="16">
      <c r="A2" s="523"/>
      <c r="B2" s="28" t="s">
        <v>2</v>
      </c>
      <c r="C2" s="28" t="s">
        <v>3</v>
      </c>
      <c r="D2" s="28" t="s">
        <v>2</v>
      </c>
      <c r="E2" s="28" t="s">
        <v>3</v>
      </c>
    </row>
    <row r="3" spans="1:5">
      <c r="A3" s="306" t="s">
        <v>369</v>
      </c>
      <c r="B3" s="296">
        <v>13.927160000000001</v>
      </c>
      <c r="C3" s="296">
        <v>30.662181</v>
      </c>
      <c r="D3" s="296">
        <v>28.909659999999999</v>
      </c>
      <c r="E3" s="296">
        <v>45.801796000000003</v>
      </c>
    </row>
    <row r="4" spans="1:5">
      <c r="A4" s="306" t="s">
        <v>110</v>
      </c>
      <c r="B4" s="296">
        <v>46.616593003273003</v>
      </c>
      <c r="C4" s="296">
        <v>54.750561714172399</v>
      </c>
      <c r="D4" s="296">
        <v>71.419996023178101</v>
      </c>
      <c r="E4" s="296">
        <v>76.388859748840304</v>
      </c>
    </row>
    <row r="8" spans="1:5">
      <c r="A8" s="357" t="s">
        <v>25</v>
      </c>
      <c r="B8" s="172" t="s">
        <v>627</v>
      </c>
    </row>
  </sheetData>
  <mergeCells count="3">
    <mergeCell ref="A1:A2"/>
    <mergeCell ref="B1:C1"/>
    <mergeCell ref="D1:E1"/>
  </mergeCells>
  <hyperlinks>
    <hyperlink ref="B8" r:id="rId1" display="https://databank.worldbank.org/source/world-development-indicators" xr:uid="{694E787A-8BEA-411F-B8BB-5ACDC6210931}"/>
  </hyperlinks>
  <pageMargins left="0.7" right="0.7" top="0.75" bottom="0.75" header="0.3" footer="0.3"/>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E33F4-793C-4972-A668-00E75732FD97}">
  <sheetPr>
    <tabColor theme="4" tint="0.39997558519241921"/>
  </sheetPr>
  <dimension ref="A1:I24"/>
  <sheetViews>
    <sheetView showGridLines="0" zoomScale="70" zoomScaleNormal="70" workbookViewId="0">
      <pane xSplit="2" ySplit="3" topLeftCell="C4" activePane="bottomRight" state="frozen"/>
      <selection pane="topRight" activeCell="D1" sqref="D1:I1"/>
      <selection pane="bottomLeft" activeCell="D1" sqref="D1:I1"/>
      <selection pane="bottomRight" activeCell="A2" sqref="A2:I24"/>
    </sheetView>
  </sheetViews>
  <sheetFormatPr defaultRowHeight="14.5"/>
  <cols>
    <col min="1" max="1" width="14.1796875" bestFit="1" customWidth="1"/>
    <col min="2" max="2" width="9.54296875" bestFit="1" customWidth="1"/>
    <col min="3" max="3" width="11" bestFit="1" customWidth="1"/>
    <col min="4" max="9" width="12.453125" customWidth="1"/>
  </cols>
  <sheetData>
    <row r="1" spans="1:9" ht="16">
      <c r="A1" t="s">
        <v>101</v>
      </c>
      <c r="C1" s="35"/>
      <c r="D1" s="524" t="s">
        <v>361</v>
      </c>
      <c r="E1" s="524"/>
      <c r="F1" s="524"/>
      <c r="G1" s="524"/>
      <c r="H1" s="524"/>
      <c r="I1" s="524"/>
    </row>
    <row r="2" spans="1:9">
      <c r="C2" s="35"/>
      <c r="D2" s="525" t="s">
        <v>114</v>
      </c>
      <c r="E2" s="525"/>
      <c r="F2" s="525" t="s">
        <v>115</v>
      </c>
      <c r="G2" s="525" t="s">
        <v>362</v>
      </c>
      <c r="H2" s="525" t="s">
        <v>116</v>
      </c>
      <c r="I2" s="525" t="s">
        <v>363</v>
      </c>
    </row>
    <row r="3" spans="1:9">
      <c r="A3" s="35" t="s">
        <v>113</v>
      </c>
      <c r="B3" s="35" t="s">
        <v>364</v>
      </c>
      <c r="C3" s="201" t="s">
        <v>104</v>
      </c>
      <c r="D3" s="202" t="s">
        <v>102</v>
      </c>
      <c r="E3" s="203" t="s">
        <v>112</v>
      </c>
      <c r="F3" s="202" t="s">
        <v>102</v>
      </c>
      <c r="G3" s="203" t="s">
        <v>112</v>
      </c>
      <c r="H3" s="202" t="s">
        <v>102</v>
      </c>
      <c r="I3" s="203" t="s">
        <v>112</v>
      </c>
    </row>
    <row r="4" spans="1:9">
      <c r="A4" s="38" t="s">
        <v>67</v>
      </c>
      <c r="B4" s="38" t="s">
        <v>365</v>
      </c>
      <c r="C4" s="204">
        <v>2000</v>
      </c>
      <c r="D4" s="55">
        <v>20512608</v>
      </c>
      <c r="E4" s="108">
        <v>27.95112</v>
      </c>
      <c r="F4" s="55">
        <v>5701995</v>
      </c>
      <c r="G4" s="108">
        <v>40.199390000000001</v>
      </c>
      <c r="H4" s="55">
        <v>14810613</v>
      </c>
      <c r="I4" s="108">
        <v>25.0166</v>
      </c>
    </row>
    <row r="5" spans="1:9">
      <c r="A5" s="38" t="s">
        <v>67</v>
      </c>
      <c r="B5" s="38" t="s">
        <v>365</v>
      </c>
      <c r="C5" s="204">
        <v>2005</v>
      </c>
      <c r="D5" s="55">
        <v>21799160</v>
      </c>
      <c r="E5" s="108">
        <v>25.564499999999999</v>
      </c>
      <c r="F5" s="55">
        <v>6022527</v>
      </c>
      <c r="G5" s="108">
        <v>36.774999999999999</v>
      </c>
      <c r="H5" s="55">
        <v>15776632</v>
      </c>
      <c r="I5" s="108">
        <v>22.89968</v>
      </c>
    </row>
    <row r="6" spans="1:9">
      <c r="A6" s="38" t="s">
        <v>67</v>
      </c>
      <c r="B6" s="38" t="s">
        <v>365</v>
      </c>
      <c r="C6" s="204">
        <v>2010</v>
      </c>
      <c r="D6" s="55">
        <v>22203422</v>
      </c>
      <c r="E6" s="108">
        <v>21.300260000000002</v>
      </c>
      <c r="F6" s="55">
        <v>6231502</v>
      </c>
      <c r="G6" s="108">
        <v>31.749110000000002</v>
      </c>
      <c r="H6" s="55">
        <v>15971919</v>
      </c>
      <c r="I6" s="108">
        <v>18.876480000000001</v>
      </c>
    </row>
    <row r="7" spans="1:9">
      <c r="A7" s="38" t="s">
        <v>67</v>
      </c>
      <c r="B7" s="38" t="s">
        <v>365</v>
      </c>
      <c r="C7" s="204">
        <v>2015</v>
      </c>
      <c r="D7" s="55">
        <v>21168370</v>
      </c>
      <c r="E7" s="108">
        <v>18.85249</v>
      </c>
      <c r="F7" s="55">
        <v>5940087</v>
      </c>
      <c r="G7" s="108">
        <v>27.330839999999998</v>
      </c>
      <c r="H7" s="55">
        <v>15228282</v>
      </c>
      <c r="I7" s="108">
        <v>16.817499999999999</v>
      </c>
    </row>
    <row r="8" spans="1:9">
      <c r="A8" s="38" t="s">
        <v>67</v>
      </c>
      <c r="B8" s="38" t="s">
        <v>365</v>
      </c>
      <c r="C8" s="204">
        <v>2020</v>
      </c>
      <c r="D8" s="55">
        <v>19803346</v>
      </c>
      <c r="E8" s="108">
        <v>16.729859999999999</v>
      </c>
      <c r="F8" s="55">
        <v>4322361</v>
      </c>
      <c r="G8" s="108">
        <v>20.02261</v>
      </c>
      <c r="H8" s="55">
        <v>15480985</v>
      </c>
      <c r="I8" s="108">
        <v>15.995419999999999</v>
      </c>
    </row>
    <row r="9" spans="1:9">
      <c r="A9" s="38" t="s">
        <v>67</v>
      </c>
      <c r="B9" s="38" t="s">
        <v>365</v>
      </c>
      <c r="C9" s="204">
        <v>2021</v>
      </c>
      <c r="D9" s="55">
        <v>20013824</v>
      </c>
      <c r="E9" s="108">
        <v>16.3658</v>
      </c>
      <c r="F9" s="55">
        <v>4462251</v>
      </c>
      <c r="G9" s="108">
        <v>19.45947</v>
      </c>
      <c r="H9" s="55">
        <v>15551573</v>
      </c>
      <c r="I9" s="108">
        <v>15.651809999999999</v>
      </c>
    </row>
    <row r="10" spans="1:9">
      <c r="A10" s="38" t="s">
        <v>67</v>
      </c>
      <c r="B10" s="38" t="s">
        <v>365</v>
      </c>
      <c r="C10" s="204">
        <v>2022</v>
      </c>
      <c r="D10" s="55">
        <v>20551982</v>
      </c>
      <c r="E10" s="108">
        <v>16.03585</v>
      </c>
      <c r="F10" s="55">
        <v>4490061</v>
      </c>
      <c r="G10" s="261">
        <v>18.667480000000001</v>
      </c>
      <c r="H10" s="55">
        <v>16061922</v>
      </c>
      <c r="I10" s="261">
        <v>15.427860000000001</v>
      </c>
    </row>
    <row r="11" spans="1:9">
      <c r="A11" s="38" t="s">
        <v>67</v>
      </c>
      <c r="B11" s="38" t="s">
        <v>366</v>
      </c>
      <c r="C11" s="204">
        <v>2000</v>
      </c>
      <c r="D11" s="55">
        <v>16183300</v>
      </c>
      <c r="E11" s="108">
        <v>22.051870000000001</v>
      </c>
      <c r="F11" s="55">
        <v>1687700</v>
      </c>
      <c r="G11" s="108">
        <v>11.89838</v>
      </c>
      <c r="H11" s="55">
        <v>14495600</v>
      </c>
      <c r="I11" s="108">
        <v>24.48451</v>
      </c>
    </row>
    <row r="12" spans="1:9">
      <c r="A12" s="38" t="s">
        <v>67</v>
      </c>
      <c r="B12" s="38" t="s">
        <v>366</v>
      </c>
      <c r="C12" s="204">
        <v>2005</v>
      </c>
      <c r="D12" s="55">
        <v>19316900</v>
      </c>
      <c r="E12" s="108">
        <v>22.653479999999998</v>
      </c>
      <c r="F12" s="55">
        <v>1829400</v>
      </c>
      <c r="G12" s="108">
        <v>11.17076</v>
      </c>
      <c r="H12" s="55">
        <v>17487500</v>
      </c>
      <c r="I12" s="108">
        <v>25.382999999999999</v>
      </c>
    </row>
    <row r="13" spans="1:9">
      <c r="A13" s="38" t="s">
        <v>67</v>
      </c>
      <c r="B13" s="38" t="s">
        <v>366</v>
      </c>
      <c r="C13" s="204">
        <v>2010</v>
      </c>
      <c r="D13" s="55">
        <v>26308300</v>
      </c>
      <c r="E13" s="108">
        <v>25.23817</v>
      </c>
      <c r="F13" s="55">
        <v>2047800</v>
      </c>
      <c r="G13" s="108">
        <v>10.43341</v>
      </c>
      <c r="H13" s="55">
        <v>24260600</v>
      </c>
      <c r="I13" s="108">
        <v>28.67249</v>
      </c>
    </row>
    <row r="14" spans="1:9">
      <c r="A14" s="38" t="s">
        <v>67</v>
      </c>
      <c r="B14" s="38" t="s">
        <v>366</v>
      </c>
      <c r="C14" s="204">
        <v>2015</v>
      </c>
      <c r="D14" s="55">
        <v>28088100</v>
      </c>
      <c r="E14" s="108">
        <v>25.015180000000001</v>
      </c>
      <c r="F14" s="55">
        <v>2152400</v>
      </c>
      <c r="G14" s="108">
        <v>9.9033730000000002</v>
      </c>
      <c r="H14" s="55">
        <v>25935800</v>
      </c>
      <c r="I14" s="108">
        <v>28.64245</v>
      </c>
    </row>
    <row r="15" spans="1:9">
      <c r="A15" s="38" t="s">
        <v>67</v>
      </c>
      <c r="B15" s="38" t="s">
        <v>366</v>
      </c>
      <c r="C15" s="204">
        <v>2020</v>
      </c>
      <c r="D15" s="55">
        <v>29823700</v>
      </c>
      <c r="E15" s="108">
        <v>25.195049999999998</v>
      </c>
      <c r="F15" s="55">
        <v>2388000</v>
      </c>
      <c r="G15" s="108">
        <v>11.062010000000001</v>
      </c>
      <c r="H15" s="55">
        <v>27435700</v>
      </c>
      <c r="I15" s="108">
        <v>28.347380000000001</v>
      </c>
    </row>
    <row r="16" spans="1:9">
      <c r="A16" s="38" t="s">
        <v>67</v>
      </c>
      <c r="B16" s="38" t="s">
        <v>366</v>
      </c>
      <c r="C16" s="204">
        <v>2021</v>
      </c>
      <c r="D16" s="55">
        <v>30399000</v>
      </c>
      <c r="E16" s="108">
        <v>24.85801</v>
      </c>
      <c r="F16" s="55">
        <v>2447800</v>
      </c>
      <c r="G16" s="108">
        <v>10.674630000000001</v>
      </c>
      <c r="H16" s="55">
        <v>27951300</v>
      </c>
      <c r="I16" s="108">
        <v>28.13147</v>
      </c>
    </row>
    <row r="17" spans="1:9">
      <c r="A17" s="38" t="s">
        <v>67</v>
      </c>
      <c r="B17" s="38" t="s">
        <v>366</v>
      </c>
      <c r="C17" s="204">
        <v>2022</v>
      </c>
      <c r="D17" s="55">
        <v>31507900</v>
      </c>
      <c r="E17" s="108">
        <v>24.584289999999999</v>
      </c>
      <c r="F17" s="55">
        <v>2479200</v>
      </c>
      <c r="G17" s="108">
        <v>10.3073</v>
      </c>
      <c r="H17" s="55">
        <v>29028700</v>
      </c>
      <c r="I17" s="108">
        <v>27.882750000000001</v>
      </c>
    </row>
    <row r="18" spans="1:9">
      <c r="A18" s="38" t="s">
        <v>67</v>
      </c>
      <c r="B18" s="38" t="s">
        <v>367</v>
      </c>
      <c r="C18" s="204">
        <v>2000</v>
      </c>
      <c r="D18" s="55">
        <v>36691500</v>
      </c>
      <c r="E18" s="108">
        <v>49.996989999999997</v>
      </c>
      <c r="F18" s="55">
        <v>6794600</v>
      </c>
      <c r="G18" s="108">
        <v>47.902320000000003</v>
      </c>
      <c r="H18" s="55">
        <v>29896900</v>
      </c>
      <c r="I18" s="108">
        <v>50.498840000000001</v>
      </c>
    </row>
    <row r="19" spans="1:9">
      <c r="A19" s="38" t="s">
        <v>67</v>
      </c>
      <c r="B19" s="38" t="s">
        <v>367</v>
      </c>
      <c r="C19" s="204">
        <v>2005</v>
      </c>
      <c r="D19" s="55">
        <v>44155200</v>
      </c>
      <c r="E19" s="108">
        <v>51.782060000000001</v>
      </c>
      <c r="F19" s="55">
        <v>8524800</v>
      </c>
      <c r="G19" s="108">
        <v>52.054490000000001</v>
      </c>
      <c r="H19" s="55">
        <v>35630400</v>
      </c>
      <c r="I19" s="108">
        <v>51.717309999999998</v>
      </c>
    </row>
    <row r="20" spans="1:9">
      <c r="A20" s="38" t="s">
        <v>67</v>
      </c>
      <c r="B20" s="38" t="s">
        <v>367</v>
      </c>
      <c r="C20" s="204">
        <v>2010</v>
      </c>
      <c r="D20" s="55">
        <v>55728400</v>
      </c>
      <c r="E20" s="108">
        <v>53.461559999999999</v>
      </c>
      <c r="F20" s="55">
        <v>11348100</v>
      </c>
      <c r="G20" s="108">
        <v>57.81785</v>
      </c>
      <c r="H20" s="55">
        <v>44380300</v>
      </c>
      <c r="I20" s="108">
        <v>52.451039999999999</v>
      </c>
    </row>
    <row r="21" spans="1:9">
      <c r="A21" s="38" t="s">
        <v>67</v>
      </c>
      <c r="B21" s="38" t="s">
        <v>367</v>
      </c>
      <c r="C21" s="204">
        <v>2015</v>
      </c>
      <c r="D21" s="55">
        <v>63027700</v>
      </c>
      <c r="E21" s="108">
        <v>56.132289999999998</v>
      </c>
      <c r="F21" s="55">
        <v>13641600</v>
      </c>
      <c r="G21" s="108">
        <v>62.76614</v>
      </c>
      <c r="H21" s="55">
        <v>49386200</v>
      </c>
      <c r="I21" s="108">
        <v>54.540120000000002</v>
      </c>
    </row>
    <row r="22" spans="1:9">
      <c r="A22" s="38" t="s">
        <v>67</v>
      </c>
      <c r="B22" s="38" t="s">
        <v>367</v>
      </c>
      <c r="C22" s="204">
        <v>2020</v>
      </c>
      <c r="D22" s="55">
        <v>68744296</v>
      </c>
      <c r="E22" s="108">
        <v>58.075150000000001</v>
      </c>
      <c r="F22" s="55">
        <v>14877100</v>
      </c>
      <c r="G22" s="108">
        <v>68.915660000000003</v>
      </c>
      <c r="H22" s="55">
        <v>53867200</v>
      </c>
      <c r="I22" s="108">
        <v>55.657200000000003</v>
      </c>
    </row>
    <row r="23" spans="1:9">
      <c r="A23" s="38" t="s">
        <v>67</v>
      </c>
      <c r="B23" s="38" t="s">
        <v>367</v>
      </c>
      <c r="C23" s="204">
        <v>2021</v>
      </c>
      <c r="D23" s="55">
        <v>71877704</v>
      </c>
      <c r="E23" s="108">
        <v>58.77617</v>
      </c>
      <c r="F23" s="55">
        <v>16021000</v>
      </c>
      <c r="G23" s="108">
        <v>69.866129999999998</v>
      </c>
      <c r="H23" s="55">
        <v>55856700</v>
      </c>
      <c r="I23" s="108">
        <v>56.216740000000001</v>
      </c>
    </row>
    <row r="24" spans="1:9">
      <c r="A24" s="38" t="s">
        <v>67</v>
      </c>
      <c r="B24" s="38" t="s">
        <v>367</v>
      </c>
      <c r="C24" s="204">
        <v>2022</v>
      </c>
      <c r="D24" s="55">
        <v>76102896</v>
      </c>
      <c r="E24" s="108">
        <v>59.379890000000003</v>
      </c>
      <c r="F24" s="55">
        <v>17083600</v>
      </c>
      <c r="G24" s="108">
        <v>71.02525</v>
      </c>
      <c r="H24" s="55">
        <v>59019200</v>
      </c>
      <c r="I24" s="108">
        <v>56.689329999999998</v>
      </c>
    </row>
  </sheetData>
  <mergeCells count="4">
    <mergeCell ref="D1:I1"/>
    <mergeCell ref="D2:E2"/>
    <mergeCell ref="F2:G2"/>
    <mergeCell ref="H2:I2"/>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6BEE-3457-49D2-A628-10F7E823D071}">
  <sheetPr>
    <tabColor theme="4" tint="0.39997558519241921"/>
  </sheetPr>
  <dimension ref="A1:C14"/>
  <sheetViews>
    <sheetView showGridLines="0" zoomScale="70" zoomScaleNormal="70" workbookViewId="0">
      <pane xSplit="1" ySplit="2" topLeftCell="B3" activePane="bottomRight" state="frozen"/>
      <selection pane="topRight" activeCell="B1" sqref="B1"/>
      <selection pane="bottomLeft" activeCell="A3" sqref="A3"/>
      <selection pane="bottomRight"/>
    </sheetView>
  </sheetViews>
  <sheetFormatPr defaultRowHeight="14.5"/>
  <cols>
    <col min="1" max="1" width="15.54296875" customWidth="1"/>
    <col min="2" max="2" width="10.453125" customWidth="1"/>
    <col min="3" max="3" width="12.81640625" customWidth="1"/>
  </cols>
  <sheetData>
    <row r="1" spans="1:3">
      <c r="B1" s="526" t="s">
        <v>368</v>
      </c>
      <c r="C1" s="526"/>
    </row>
    <row r="2" spans="1:3">
      <c r="A2" s="35"/>
      <c r="B2" s="216">
        <v>2022</v>
      </c>
      <c r="C2" s="216">
        <v>2023</v>
      </c>
    </row>
    <row r="3" spans="1:3">
      <c r="A3" s="35" t="s">
        <v>45</v>
      </c>
      <c r="B3" s="217"/>
      <c r="C3" s="217">
        <v>9</v>
      </c>
    </row>
    <row r="4" spans="1:3">
      <c r="A4" s="35" t="s">
        <v>33</v>
      </c>
      <c r="B4" s="217">
        <v>3</v>
      </c>
      <c r="C4" s="217">
        <v>12</v>
      </c>
    </row>
    <row r="5" spans="1:3">
      <c r="A5" s="35" t="s">
        <v>43</v>
      </c>
      <c r="B5" s="217">
        <v>22</v>
      </c>
      <c r="C5" s="217">
        <v>29</v>
      </c>
    </row>
    <row r="6" spans="1:3">
      <c r="A6" s="35" t="s">
        <v>35</v>
      </c>
      <c r="B6" s="217">
        <v>14</v>
      </c>
      <c r="C6" s="217">
        <v>21</v>
      </c>
    </row>
    <row r="7" spans="1:3">
      <c r="A7" s="35" t="s">
        <v>49</v>
      </c>
      <c r="B7" s="217"/>
      <c r="C7" s="217">
        <v>9</v>
      </c>
    </row>
    <row r="8" spans="1:3">
      <c r="A8" s="35" t="s">
        <v>47</v>
      </c>
      <c r="B8" s="217">
        <v>22</v>
      </c>
      <c r="C8" s="217">
        <v>16</v>
      </c>
    </row>
    <row r="9" spans="1:3">
      <c r="A9" s="35" t="s">
        <v>38</v>
      </c>
      <c r="B9" s="217">
        <v>9</v>
      </c>
      <c r="C9" s="217">
        <v>10</v>
      </c>
    </row>
    <row r="10" spans="1:3">
      <c r="A10" s="35" t="s">
        <v>31</v>
      </c>
      <c r="B10" s="217">
        <v>11</v>
      </c>
      <c r="C10" s="217">
        <v>18</v>
      </c>
    </row>
    <row r="11" spans="1:3">
      <c r="A11" s="35" t="s">
        <v>369</v>
      </c>
      <c r="B11" s="217"/>
      <c r="C11" s="217">
        <v>15.5</v>
      </c>
    </row>
    <row r="13" spans="1:3">
      <c r="A13" t="s">
        <v>370</v>
      </c>
    </row>
    <row r="14" spans="1:3">
      <c r="A14" t="s">
        <v>371</v>
      </c>
    </row>
  </sheetData>
  <mergeCells count="1">
    <mergeCell ref="B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8A0FF-1C00-400F-8E69-400E9212DD7F}">
  <sheetPr codeName="Sheet8">
    <tabColor theme="4" tint="0.39997558519241921"/>
  </sheetPr>
  <dimension ref="A1:H5"/>
  <sheetViews>
    <sheetView showGridLines="0" zoomScale="70" zoomScaleNormal="70" workbookViewId="0">
      <selection activeCell="D1" sqref="D1"/>
    </sheetView>
  </sheetViews>
  <sheetFormatPr defaultColWidth="8.81640625" defaultRowHeight="14.5"/>
  <cols>
    <col min="1" max="1" width="12.1796875" style="31" customWidth="1"/>
    <col min="2" max="8" width="18.54296875" style="31" customWidth="1"/>
    <col min="9" max="16384" width="8.81640625" style="31"/>
  </cols>
  <sheetData>
    <row r="1" spans="1:8" ht="38.5" customHeight="1">
      <c r="A1" s="28" t="s">
        <v>104</v>
      </c>
      <c r="B1" s="28" t="s">
        <v>67</v>
      </c>
      <c r="C1" s="28" t="s">
        <v>106</v>
      </c>
      <c r="D1" s="28" t="s">
        <v>107</v>
      </c>
      <c r="E1" s="28" t="s">
        <v>108</v>
      </c>
      <c r="F1" s="28" t="s">
        <v>109</v>
      </c>
      <c r="G1" s="28" t="s">
        <v>65</v>
      </c>
      <c r="H1" s="28" t="s">
        <v>110</v>
      </c>
    </row>
    <row r="2" spans="1:8">
      <c r="A2" s="32">
        <v>2004</v>
      </c>
      <c r="B2" s="33">
        <v>14.02400016784668</v>
      </c>
      <c r="C2" s="33">
        <v>36.215999603271484</v>
      </c>
      <c r="D2" s="33">
        <v>53.584999084472656</v>
      </c>
      <c r="E2" s="33">
        <v>47.522998809814453</v>
      </c>
      <c r="F2" s="33">
        <v>15.49899959564209</v>
      </c>
      <c r="G2" s="33">
        <v>45.176998138427734</v>
      </c>
      <c r="H2" s="33">
        <v>46.270000457763672</v>
      </c>
    </row>
    <row r="3" spans="1:8">
      <c r="A3" s="32">
        <v>2024</v>
      </c>
      <c r="B3" s="33">
        <v>14.517999649047852</v>
      </c>
      <c r="C3" s="33">
        <v>44.248001098632813</v>
      </c>
      <c r="D3" s="33">
        <v>61.900001525878906</v>
      </c>
      <c r="E3" s="33">
        <v>60.525001525878906</v>
      </c>
      <c r="F3" s="33">
        <v>22.572000503540039</v>
      </c>
      <c r="G3" s="33">
        <v>45.237998962402344</v>
      </c>
      <c r="H3" s="33">
        <v>51.834999084472656</v>
      </c>
    </row>
    <row r="5" spans="1:8">
      <c r="A5" s="352" t="s">
        <v>605</v>
      </c>
      <c r="B5" s="333" t="s">
        <v>611</v>
      </c>
    </row>
  </sheetData>
  <hyperlinks>
    <hyperlink ref="B5" r:id="rId1" display="https://ilostat.ilo.org/data/" xr:uid="{5525717E-5EFE-4564-935F-88FAB0298600}"/>
  </hyperlinks>
  <pageMargins left="0.7" right="0.7" top="0.75" bottom="0.75" header="0.3" footer="0.3"/>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444C-A7E0-48F8-B29B-19EC3D459337}">
  <sheetPr codeName="Sheet48">
    <tabColor theme="4" tint="0.39997558519241921"/>
  </sheetPr>
  <dimension ref="A1:C22"/>
  <sheetViews>
    <sheetView showGridLines="0" zoomScale="70" zoomScaleNormal="70" workbookViewId="0">
      <selection activeCell="C3" sqref="C3"/>
    </sheetView>
  </sheetViews>
  <sheetFormatPr defaultRowHeight="14.5"/>
  <cols>
    <col min="1" max="1" width="19.1796875" bestFit="1" customWidth="1"/>
    <col min="2" max="2" width="10.54296875" bestFit="1" customWidth="1"/>
    <col min="3" max="3" width="53.54296875" bestFit="1" customWidth="1"/>
  </cols>
  <sheetData>
    <row r="1" spans="1:3">
      <c r="A1" s="383" t="s">
        <v>4</v>
      </c>
      <c r="B1" s="383" t="s">
        <v>104</v>
      </c>
      <c r="C1" s="173" t="s">
        <v>374</v>
      </c>
    </row>
    <row r="2" spans="1:3">
      <c r="A2" s="35" t="s">
        <v>45</v>
      </c>
      <c r="B2" s="35">
        <v>2017</v>
      </c>
      <c r="C2" s="105">
        <v>47.14</v>
      </c>
    </row>
    <row r="3" spans="1:3">
      <c r="A3" s="35" t="s">
        <v>37</v>
      </c>
      <c r="B3" s="35">
        <v>2014</v>
      </c>
      <c r="C3" s="105">
        <v>38.97</v>
      </c>
    </row>
    <row r="4" spans="1:3">
      <c r="A4" s="35" t="s">
        <v>40</v>
      </c>
      <c r="B4" s="35">
        <v>2021</v>
      </c>
      <c r="C4" s="105">
        <v>11.59</v>
      </c>
    </row>
    <row r="5" spans="1:3">
      <c r="A5" s="35" t="s">
        <v>33</v>
      </c>
      <c r="B5" s="35">
        <v>2022</v>
      </c>
      <c r="C5" s="105">
        <v>41.59</v>
      </c>
    </row>
    <row r="6" spans="1:3">
      <c r="A6" s="35" t="s">
        <v>32</v>
      </c>
      <c r="B6" s="35">
        <v>2021</v>
      </c>
      <c r="C6" s="105">
        <v>40.94</v>
      </c>
    </row>
    <row r="7" spans="1:3">
      <c r="A7" s="35" t="s">
        <v>43</v>
      </c>
      <c r="B7" s="35">
        <v>2018</v>
      </c>
      <c r="C7" s="105">
        <v>19.52</v>
      </c>
    </row>
    <row r="8" spans="1:3">
      <c r="A8" s="35" t="s">
        <v>48</v>
      </c>
      <c r="B8" s="35">
        <v>2022</v>
      </c>
      <c r="C8" s="105">
        <v>49.68</v>
      </c>
    </row>
    <row r="9" spans="1:3">
      <c r="A9" s="35" t="s">
        <v>36</v>
      </c>
      <c r="B9" s="35">
        <v>2018</v>
      </c>
      <c r="C9" s="105">
        <v>24.49</v>
      </c>
    </row>
    <row r="10" spans="1:3">
      <c r="A10" s="35" t="s">
        <v>35</v>
      </c>
      <c r="B10" s="35">
        <v>2016</v>
      </c>
      <c r="C10" s="105">
        <v>33.75</v>
      </c>
    </row>
    <row r="11" spans="1:3">
      <c r="A11" s="35" t="s">
        <v>49</v>
      </c>
      <c r="B11" s="35">
        <v>2022</v>
      </c>
      <c r="C11" s="105">
        <v>32.99</v>
      </c>
    </row>
    <row r="12" spans="1:3">
      <c r="A12" s="35" t="s">
        <v>47</v>
      </c>
      <c r="B12" s="35">
        <v>2021</v>
      </c>
      <c r="C12" s="105">
        <v>31.87</v>
      </c>
    </row>
    <row r="13" spans="1:3">
      <c r="A13" s="35" t="s">
        <v>38</v>
      </c>
      <c r="B13" s="35">
        <v>2022</v>
      </c>
      <c r="C13" s="105">
        <v>43.98</v>
      </c>
    </row>
    <row r="14" spans="1:3">
      <c r="A14" s="35" t="s">
        <v>753</v>
      </c>
      <c r="B14" s="35">
        <v>2013</v>
      </c>
      <c r="C14" s="105">
        <v>22.59</v>
      </c>
    </row>
    <row r="15" spans="1:3">
      <c r="A15" s="35" t="s">
        <v>162</v>
      </c>
      <c r="B15" s="35">
        <v>2022</v>
      </c>
      <c r="C15" s="105">
        <v>43.58</v>
      </c>
    </row>
    <row r="16" spans="1:3">
      <c r="A16" s="35" t="s">
        <v>42</v>
      </c>
      <c r="B16" s="35">
        <v>2022</v>
      </c>
      <c r="C16" s="105">
        <v>54.87</v>
      </c>
    </row>
    <row r="17" spans="1:3">
      <c r="A17" s="35" t="s">
        <v>31</v>
      </c>
      <c r="B17" s="35">
        <v>2021</v>
      </c>
      <c r="C17" s="105">
        <v>33.58</v>
      </c>
    </row>
    <row r="18" spans="1:3">
      <c r="A18" s="43" t="s">
        <v>188</v>
      </c>
      <c r="B18" s="43">
        <v>2021</v>
      </c>
      <c r="C18" s="174">
        <v>41.12</v>
      </c>
    </row>
    <row r="19" spans="1:3">
      <c r="A19" s="43" t="s">
        <v>110</v>
      </c>
      <c r="B19" s="43">
        <v>2021</v>
      </c>
      <c r="C19" s="174">
        <v>31.48</v>
      </c>
    </row>
    <row r="21" spans="1:3">
      <c r="A21" s="350" t="s">
        <v>605</v>
      </c>
    </row>
    <row r="22" spans="1:3">
      <c r="A22" s="172" t="s">
        <v>754</v>
      </c>
    </row>
  </sheetData>
  <hyperlinks>
    <hyperlink ref="A22" r:id="rId1" location="indicatorPaths=UIS-ScienceOPRI%3A0%3AFRESP.THC&amp;geoMode=regions&amp;geoUnits=&amp;browsePath=EDUCATION%2FUIS-ScienceOPRI%2Ffem-res%2Fper-fem-res&amp;timeMode=range&amp;view=table&amp;chartMode=multiple&amp;tableIndicatorId=FRESP.THC&amp;chartHighlightSeries=&amp;chartHighlightEnabled=true&amp;years=2000%2C2023" xr:uid="{97314E1C-196F-42BF-B4CA-841D2ED8DC72}"/>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6DE26-EA4C-4A5A-8A65-93FAC3313093}">
  <sheetPr>
    <tabColor theme="6" tint="0.39997558519241921"/>
  </sheetPr>
  <dimension ref="A1:I10"/>
  <sheetViews>
    <sheetView showGridLines="0" zoomScale="70" zoomScaleNormal="70" workbookViewId="0">
      <pane xSplit="2" ySplit="3" topLeftCell="C4" activePane="bottomRight" state="frozen"/>
      <selection pane="topRight" activeCell="D1" sqref="D1:I1"/>
      <selection pane="bottomLeft" activeCell="D1" sqref="D1:I1"/>
      <selection pane="bottomRight" activeCell="D1" sqref="D1:I1"/>
    </sheetView>
  </sheetViews>
  <sheetFormatPr defaultRowHeight="14.5"/>
  <cols>
    <col min="1" max="1" width="14.1796875" bestFit="1" customWidth="1"/>
    <col min="2" max="2" width="15" customWidth="1"/>
    <col min="3" max="3" width="10.453125" bestFit="1" customWidth="1"/>
    <col min="4" max="9" width="12.453125" customWidth="1"/>
  </cols>
  <sheetData>
    <row r="1" spans="1:9" ht="16">
      <c r="A1" t="s">
        <v>101</v>
      </c>
      <c r="D1" s="524" t="s">
        <v>372</v>
      </c>
      <c r="E1" s="524"/>
      <c r="F1" s="524"/>
      <c r="G1" s="524"/>
      <c r="H1" s="524"/>
      <c r="I1" s="524"/>
    </row>
    <row r="2" spans="1:9">
      <c r="D2" s="525" t="s">
        <v>114</v>
      </c>
      <c r="E2" s="525"/>
      <c r="F2" s="525" t="s">
        <v>115</v>
      </c>
      <c r="G2" s="525" t="s">
        <v>362</v>
      </c>
      <c r="H2" s="525" t="s">
        <v>116</v>
      </c>
      <c r="I2" s="525" t="s">
        <v>363</v>
      </c>
    </row>
    <row r="3" spans="1:9">
      <c r="A3" s="44" t="s">
        <v>113</v>
      </c>
      <c r="B3" s="44" t="s">
        <v>364</v>
      </c>
      <c r="C3" s="44" t="s">
        <v>104</v>
      </c>
      <c r="D3" s="205" t="s">
        <v>102</v>
      </c>
      <c r="E3" s="206" t="s">
        <v>112</v>
      </c>
      <c r="F3" s="205" t="s">
        <v>102</v>
      </c>
      <c r="G3" s="206" t="s">
        <v>112</v>
      </c>
      <c r="H3" s="205" t="s">
        <v>102</v>
      </c>
      <c r="I3" s="206" t="s">
        <v>112</v>
      </c>
    </row>
    <row r="4" spans="1:9">
      <c r="A4" s="46" t="s">
        <v>67</v>
      </c>
      <c r="B4" s="46" t="s">
        <v>373</v>
      </c>
      <c r="C4" s="207">
        <v>2000</v>
      </c>
      <c r="D4" s="55">
        <v>7946941</v>
      </c>
      <c r="E4" s="108">
        <v>10.828749999999999</v>
      </c>
      <c r="F4" s="55">
        <v>1506724</v>
      </c>
      <c r="G4" s="108">
        <v>10.622490000000001</v>
      </c>
      <c r="H4" s="55">
        <v>6440217</v>
      </c>
      <c r="I4" s="108">
        <v>10.878170000000001</v>
      </c>
    </row>
    <row r="5" spans="1:9">
      <c r="A5" s="46" t="s">
        <v>67</v>
      </c>
      <c r="B5" s="46" t="s">
        <v>373</v>
      </c>
      <c r="C5" s="207">
        <v>2005</v>
      </c>
      <c r="D5" s="55">
        <v>9022515</v>
      </c>
      <c r="E5" s="108">
        <v>10.580959999999999</v>
      </c>
      <c r="F5" s="55">
        <v>1627581</v>
      </c>
      <c r="G5" s="108">
        <v>9.938402</v>
      </c>
      <c r="H5" s="55">
        <v>7394934</v>
      </c>
      <c r="I5" s="108">
        <v>10.733700000000001</v>
      </c>
    </row>
    <row r="6" spans="1:9">
      <c r="A6" s="46" t="s">
        <v>67</v>
      </c>
      <c r="B6" s="46" t="s">
        <v>373</v>
      </c>
      <c r="C6" s="207">
        <v>2010</v>
      </c>
      <c r="D6" s="55">
        <v>11172462</v>
      </c>
      <c r="E6" s="108">
        <v>10.718</v>
      </c>
      <c r="F6" s="55">
        <v>1762091</v>
      </c>
      <c r="G6" s="108">
        <v>8.9777419999999992</v>
      </c>
      <c r="H6" s="55">
        <v>9410371</v>
      </c>
      <c r="I6" s="108">
        <v>11.121689999999999</v>
      </c>
    </row>
    <row r="7" spans="1:9">
      <c r="A7" s="46" t="s">
        <v>67</v>
      </c>
      <c r="B7" s="46" t="s">
        <v>373</v>
      </c>
      <c r="C7" s="207">
        <v>2015</v>
      </c>
      <c r="D7" s="55">
        <v>11232933</v>
      </c>
      <c r="E7" s="108">
        <v>10.004020000000001</v>
      </c>
      <c r="F7" s="55">
        <v>1819875</v>
      </c>
      <c r="G7" s="108">
        <v>8.3733970000000006</v>
      </c>
      <c r="H7" s="55">
        <v>9413058</v>
      </c>
      <c r="I7" s="108">
        <v>10.3954</v>
      </c>
    </row>
    <row r="8" spans="1:9">
      <c r="A8" s="46" t="s">
        <v>67</v>
      </c>
      <c r="B8" s="46" t="s">
        <v>373</v>
      </c>
      <c r="C8" s="207">
        <v>2020</v>
      </c>
      <c r="D8" s="55">
        <v>12137901</v>
      </c>
      <c r="E8" s="108">
        <v>10.25409</v>
      </c>
      <c r="F8" s="55">
        <v>1906923</v>
      </c>
      <c r="G8" s="108">
        <v>8.8335000000000008</v>
      </c>
      <c r="H8" s="55">
        <v>10230978</v>
      </c>
      <c r="I8" s="108">
        <v>10.57095</v>
      </c>
    </row>
    <row r="9" spans="1:9">
      <c r="A9" s="46" t="s">
        <v>67</v>
      </c>
      <c r="B9" s="46" t="s">
        <v>373</v>
      </c>
      <c r="C9" s="207">
        <v>2021</v>
      </c>
      <c r="D9" s="55">
        <v>12281008</v>
      </c>
      <c r="E9" s="108">
        <v>10.042479999999999</v>
      </c>
      <c r="F9" s="55">
        <v>1958438</v>
      </c>
      <c r="G9" s="108">
        <v>8.5405709999999999</v>
      </c>
      <c r="H9" s="55">
        <v>10322570</v>
      </c>
      <c r="I9" s="108">
        <v>10.389110000000001</v>
      </c>
    </row>
    <row r="10" spans="1:9">
      <c r="A10" s="46" t="s">
        <v>67</v>
      </c>
      <c r="B10" s="46" t="s">
        <v>373</v>
      </c>
      <c r="C10" s="207">
        <v>2022</v>
      </c>
      <c r="D10" s="55">
        <v>12622560</v>
      </c>
      <c r="E10" s="108">
        <v>9.8488530000000001</v>
      </c>
      <c r="F10" s="55">
        <v>1983918</v>
      </c>
      <c r="G10" s="108">
        <v>8.2481600000000004</v>
      </c>
      <c r="H10" s="55">
        <v>10638641</v>
      </c>
      <c r="I10" s="108">
        <v>10.218669999999999</v>
      </c>
    </row>
  </sheetData>
  <mergeCells count="4">
    <mergeCell ref="D1:I1"/>
    <mergeCell ref="D2:E2"/>
    <mergeCell ref="F2:G2"/>
    <mergeCell ref="H2:I2"/>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93325-70A6-4EBE-8724-307F186CE69F}">
  <sheetPr codeName="Sheet49">
    <tabColor theme="6" tint="0.39997558519241921"/>
  </sheetPr>
  <dimension ref="A1:G20"/>
  <sheetViews>
    <sheetView showGridLines="0" zoomScale="70" zoomScaleNormal="70" workbookViewId="0">
      <pane xSplit="2" ySplit="3" topLeftCell="C4" activePane="bottomRight" state="frozen"/>
      <selection pane="topRight" activeCell="A19" sqref="A19"/>
      <selection pane="bottomLeft" activeCell="A19" sqref="A19"/>
      <selection pane="bottomRight" activeCell="C1" sqref="C1:G1"/>
    </sheetView>
  </sheetViews>
  <sheetFormatPr defaultRowHeight="14.5"/>
  <cols>
    <col min="1" max="1" width="15.54296875" bestFit="1" customWidth="1"/>
    <col min="2" max="2" width="11" style="53" bestFit="1" customWidth="1"/>
  </cols>
  <sheetData>
    <row r="1" spans="1:7" ht="31.4" customHeight="1">
      <c r="A1" s="62" t="s">
        <v>269</v>
      </c>
      <c r="C1" s="527" t="s">
        <v>375</v>
      </c>
      <c r="D1" s="527"/>
      <c r="E1" s="527"/>
      <c r="F1" s="527"/>
      <c r="G1" s="527"/>
    </row>
    <row r="2" spans="1:7">
      <c r="C2" s="175" t="s">
        <v>376</v>
      </c>
      <c r="D2" s="528" t="s">
        <v>377</v>
      </c>
      <c r="E2" s="528"/>
      <c r="F2" s="528"/>
      <c r="G2" s="175" t="s">
        <v>378</v>
      </c>
    </row>
    <row r="3" spans="1:7">
      <c r="A3" s="35" t="s">
        <v>113</v>
      </c>
      <c r="B3" s="44" t="s">
        <v>104</v>
      </c>
      <c r="C3" s="176" t="s">
        <v>244</v>
      </c>
      <c r="D3" s="176" t="s">
        <v>244</v>
      </c>
      <c r="E3" s="176" t="s">
        <v>250</v>
      </c>
      <c r="F3" s="176" t="s">
        <v>251</v>
      </c>
      <c r="G3" s="176" t="s">
        <v>244</v>
      </c>
    </row>
    <row r="4" spans="1:7">
      <c r="A4" s="35" t="s">
        <v>67</v>
      </c>
      <c r="B4" s="44">
        <v>2015</v>
      </c>
      <c r="C4" s="105">
        <v>94.367260999999999</v>
      </c>
      <c r="D4" s="105">
        <v>74.900000000000006</v>
      </c>
      <c r="E4" s="105"/>
      <c r="F4" s="105"/>
      <c r="G4" s="105"/>
    </row>
    <row r="5" spans="1:7">
      <c r="A5" s="35" t="s">
        <v>67</v>
      </c>
      <c r="B5" s="44">
        <v>2020</v>
      </c>
      <c r="C5" s="105">
        <v>96.660212000000001</v>
      </c>
      <c r="D5" s="105">
        <v>92.5</v>
      </c>
      <c r="E5" s="105"/>
      <c r="F5" s="105"/>
      <c r="G5" s="105">
        <v>73.620718999999994</v>
      </c>
    </row>
    <row r="6" spans="1:7">
      <c r="A6" s="35" t="s">
        <v>67</v>
      </c>
      <c r="B6" s="44">
        <v>2021</v>
      </c>
      <c r="C6" s="105">
        <v>96.895467999999994</v>
      </c>
      <c r="D6" s="105">
        <v>94.1</v>
      </c>
      <c r="E6" s="105"/>
      <c r="F6" s="105"/>
      <c r="G6" s="105">
        <v>75.127039999999994</v>
      </c>
    </row>
    <row r="7" spans="1:7">
      <c r="A7" s="35" t="s">
        <v>67</v>
      </c>
      <c r="B7" s="44">
        <v>2023</v>
      </c>
      <c r="C7" s="105"/>
      <c r="D7" s="105">
        <v>94.5</v>
      </c>
      <c r="E7" s="105">
        <v>89</v>
      </c>
      <c r="F7" s="105">
        <v>99.8</v>
      </c>
      <c r="G7" s="105"/>
    </row>
    <row r="8" spans="1:7">
      <c r="A8" s="35" t="s">
        <v>144</v>
      </c>
      <c r="B8" s="44">
        <v>2015</v>
      </c>
      <c r="C8" s="105">
        <v>99.472233000000003</v>
      </c>
      <c r="D8" s="105">
        <v>97.422201000000001</v>
      </c>
      <c r="E8" s="105"/>
      <c r="F8" s="105"/>
      <c r="G8" s="105">
        <v>88.356015999999997</v>
      </c>
    </row>
    <row r="9" spans="1:7">
      <c r="A9" s="35" t="s">
        <v>144</v>
      </c>
      <c r="B9" s="44">
        <v>2020</v>
      </c>
      <c r="C9" s="105">
        <v>99.94623</v>
      </c>
      <c r="D9" s="105">
        <v>99.409638999999999</v>
      </c>
      <c r="E9" s="105"/>
      <c r="F9" s="105"/>
      <c r="G9" s="105">
        <v>98.698279999999997</v>
      </c>
    </row>
    <row r="10" spans="1:7">
      <c r="A10" s="35" t="s">
        <v>144</v>
      </c>
      <c r="B10" s="44">
        <v>2021</v>
      </c>
      <c r="C10" s="105">
        <v>99.993827999999993</v>
      </c>
      <c r="D10" s="105">
        <v>99.993827999999993</v>
      </c>
      <c r="E10" s="105"/>
      <c r="F10" s="105"/>
      <c r="G10" s="105">
        <v>99.879531</v>
      </c>
    </row>
    <row r="11" spans="1:7">
      <c r="A11" s="35" t="s">
        <v>119</v>
      </c>
      <c r="B11" s="44">
        <v>2015</v>
      </c>
      <c r="C11" s="105">
        <v>95.858119000000002</v>
      </c>
      <c r="D11" s="105">
        <v>65.121545999999995</v>
      </c>
      <c r="E11" s="105"/>
      <c r="F11" s="105"/>
      <c r="G11" s="105"/>
    </row>
    <row r="12" spans="1:7">
      <c r="A12" s="35" t="s">
        <v>119</v>
      </c>
      <c r="B12" s="44">
        <v>2020</v>
      </c>
      <c r="C12" s="105">
        <v>97.852827000000005</v>
      </c>
      <c r="D12" s="105">
        <v>97.580138000000005</v>
      </c>
      <c r="E12" s="105"/>
      <c r="F12" s="105"/>
      <c r="G12" s="105">
        <v>84.428199000000006</v>
      </c>
    </row>
    <row r="13" spans="1:7">
      <c r="A13" s="35" t="s">
        <v>119</v>
      </c>
      <c r="B13" s="44">
        <v>2021</v>
      </c>
      <c r="C13" s="105">
        <v>97.562472</v>
      </c>
      <c r="D13" s="105">
        <v>96.943060000000003</v>
      </c>
      <c r="E13" s="105"/>
      <c r="F13" s="105"/>
      <c r="G13" s="105">
        <v>86.144293000000005</v>
      </c>
    </row>
    <row r="14" spans="1:7">
      <c r="A14" s="35" t="s">
        <v>120</v>
      </c>
      <c r="B14" s="44">
        <v>2015</v>
      </c>
      <c r="C14" s="105">
        <v>96.945397999999997</v>
      </c>
      <c r="D14" s="105">
        <v>83.049674999999993</v>
      </c>
      <c r="E14" s="105"/>
      <c r="F14" s="105"/>
      <c r="G14" s="105"/>
    </row>
    <row r="15" spans="1:7">
      <c r="A15" s="35" t="s">
        <v>120</v>
      </c>
      <c r="B15" s="44">
        <v>2020</v>
      </c>
      <c r="C15" s="105">
        <v>99.182260999999997</v>
      </c>
      <c r="D15" s="105">
        <v>97.011889999999994</v>
      </c>
      <c r="E15" s="105"/>
      <c r="F15" s="105"/>
      <c r="G15" s="105">
        <v>87.188697000000005</v>
      </c>
    </row>
    <row r="16" spans="1:7">
      <c r="A16" s="35" t="s">
        <v>120</v>
      </c>
      <c r="B16" s="44">
        <v>2021</v>
      </c>
      <c r="C16" s="105">
        <v>99.541614999999993</v>
      </c>
      <c r="D16" s="105">
        <v>97.603278000000003</v>
      </c>
      <c r="E16" s="105"/>
      <c r="F16" s="105"/>
      <c r="G16" s="105">
        <v>88.960616999999999</v>
      </c>
    </row>
    <row r="17" spans="1:7">
      <c r="A17" s="35" t="s">
        <v>121</v>
      </c>
      <c r="B17" s="44">
        <v>2015</v>
      </c>
      <c r="C17" s="105">
        <v>84.357472999999999</v>
      </c>
      <c r="D17" s="105">
        <v>54.928369000000004</v>
      </c>
      <c r="E17" s="105"/>
      <c r="F17" s="105"/>
      <c r="G17" s="105"/>
    </row>
    <row r="18" spans="1:7">
      <c r="A18" s="35" t="s">
        <v>121</v>
      </c>
      <c r="B18" s="44">
        <v>2020</v>
      </c>
      <c r="C18" s="105">
        <v>88.682230000000004</v>
      </c>
      <c r="D18" s="105">
        <v>74.662482999999995</v>
      </c>
      <c r="E18" s="105"/>
      <c r="F18" s="105"/>
      <c r="G18" s="105"/>
    </row>
    <row r="19" spans="1:7">
      <c r="A19" s="35" t="s">
        <v>121</v>
      </c>
      <c r="B19" s="44">
        <v>2021</v>
      </c>
      <c r="C19" s="105">
        <v>89.404146999999995</v>
      </c>
      <c r="D19" s="105">
        <v>70.425478999999996</v>
      </c>
      <c r="E19" s="105"/>
      <c r="F19" s="105"/>
      <c r="G19" s="105"/>
    </row>
    <row r="20" spans="1:7">
      <c r="C20" s="169"/>
      <c r="D20" s="169"/>
      <c r="E20" s="169"/>
      <c r="F20" s="169"/>
      <c r="G20" s="169"/>
    </row>
  </sheetData>
  <mergeCells count="2">
    <mergeCell ref="C1:G1"/>
    <mergeCell ref="D2:F2"/>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03EBA-4A27-4C94-B90C-906E3B9D148F}">
  <sheetPr>
    <tabColor theme="6" tint="0.39997558519241921"/>
  </sheetPr>
  <dimension ref="A1:AM28"/>
  <sheetViews>
    <sheetView zoomScale="70" zoomScaleNormal="70" workbookViewId="0">
      <selection activeCell="M22" sqref="M22"/>
    </sheetView>
  </sheetViews>
  <sheetFormatPr defaultRowHeight="14.5"/>
  <cols>
    <col min="1" max="1" width="27.54296875" style="240" customWidth="1"/>
    <col min="2" max="6" width="8.81640625" style="240"/>
    <col min="7" max="7" width="27.54296875" style="240" customWidth="1"/>
    <col min="8" max="39" width="8.81640625" style="240"/>
  </cols>
  <sheetData>
    <row r="1" spans="1:11">
      <c r="A1" s="240" t="s">
        <v>489</v>
      </c>
      <c r="G1" s="240" t="s">
        <v>490</v>
      </c>
    </row>
    <row r="2" spans="1:11" ht="15.65" customHeight="1">
      <c r="A2" s="309" t="s">
        <v>103</v>
      </c>
      <c r="B2" s="309" t="s">
        <v>2</v>
      </c>
      <c r="C2" s="309" t="s">
        <v>3</v>
      </c>
      <c r="G2" s="309" t="s">
        <v>103</v>
      </c>
      <c r="H2" s="309" t="s">
        <v>2</v>
      </c>
      <c r="I2" s="309" t="s">
        <v>3</v>
      </c>
      <c r="J2" s="311"/>
      <c r="K2" s="311"/>
    </row>
    <row r="3" spans="1:11" ht="15.65" customHeight="1">
      <c r="A3" s="312" t="s">
        <v>506</v>
      </c>
      <c r="B3" s="273">
        <v>33.6</v>
      </c>
      <c r="C3" s="273">
        <v>47.8</v>
      </c>
      <c r="D3" s="311"/>
      <c r="F3" s="240" t="s">
        <v>178</v>
      </c>
      <c r="G3" s="312" t="s">
        <v>425</v>
      </c>
      <c r="H3" s="273">
        <v>35</v>
      </c>
      <c r="I3" s="273">
        <v>48.1</v>
      </c>
      <c r="J3" s="311"/>
      <c r="K3" s="311"/>
    </row>
    <row r="4" spans="1:11" ht="15.65" customHeight="1">
      <c r="A4" s="312" t="s">
        <v>425</v>
      </c>
      <c r="B4" s="273">
        <v>51.3</v>
      </c>
      <c r="C4" s="273">
        <v>61.9</v>
      </c>
      <c r="D4" s="311"/>
      <c r="G4" s="312" t="s">
        <v>507</v>
      </c>
      <c r="H4" s="273">
        <v>10.5</v>
      </c>
      <c r="I4" s="273">
        <v>21.7</v>
      </c>
      <c r="J4" s="311"/>
    </row>
    <row r="5" spans="1:11" ht="15.65" customHeight="1">
      <c r="A5" s="312" t="s">
        <v>507</v>
      </c>
      <c r="B5" s="273">
        <v>12.5</v>
      </c>
      <c r="C5" s="273">
        <v>22.8</v>
      </c>
      <c r="D5" s="311"/>
      <c r="G5" s="312" t="s">
        <v>506</v>
      </c>
      <c r="H5" s="273">
        <v>18.600000000000001</v>
      </c>
      <c r="I5" s="273">
        <v>26</v>
      </c>
      <c r="J5" s="311"/>
    </row>
    <row r="6" spans="1:11" ht="15.65" customHeight="1">
      <c r="A6" s="312" t="s">
        <v>508</v>
      </c>
      <c r="B6" s="273">
        <v>9.8000000000000007</v>
      </c>
      <c r="C6" s="273">
        <v>15.4</v>
      </c>
      <c r="D6" s="311"/>
      <c r="F6" s="240" t="s">
        <v>178</v>
      </c>
      <c r="G6" s="312" t="s">
        <v>508</v>
      </c>
      <c r="H6" s="273">
        <v>6</v>
      </c>
      <c r="I6" s="273">
        <v>10.199999999999999</v>
      </c>
      <c r="J6" s="311"/>
    </row>
    <row r="7" spans="1:11" ht="15.65" customHeight="1">
      <c r="A7" s="312" t="s">
        <v>484</v>
      </c>
      <c r="B7" s="273">
        <v>14.3</v>
      </c>
      <c r="C7" s="273">
        <v>15.4</v>
      </c>
      <c r="D7" s="311"/>
      <c r="F7" s="240" t="s">
        <v>178</v>
      </c>
      <c r="G7" s="312" t="s">
        <v>484</v>
      </c>
      <c r="H7" s="273">
        <v>9.3000000000000007</v>
      </c>
      <c r="I7" s="273">
        <v>13.3</v>
      </c>
      <c r="J7" s="311"/>
    </row>
    <row r="8" spans="1:11" ht="15.65" customHeight="1">
      <c r="A8" s="312" t="s">
        <v>18</v>
      </c>
      <c r="B8" s="273">
        <v>100</v>
      </c>
      <c r="C8" s="273">
        <v>100</v>
      </c>
      <c r="D8" s="311"/>
      <c r="G8" s="312" t="s">
        <v>511</v>
      </c>
      <c r="H8" s="273">
        <v>100</v>
      </c>
      <c r="I8" s="273">
        <v>100</v>
      </c>
      <c r="J8" s="311"/>
    </row>
    <row r="9" spans="1:11" ht="15.65" customHeight="1">
      <c r="A9" s="312" t="s">
        <v>511</v>
      </c>
      <c r="B9" s="273">
        <v>100</v>
      </c>
      <c r="C9" s="273">
        <v>100</v>
      </c>
      <c r="D9" s="311"/>
      <c r="G9" s="312" t="s">
        <v>18</v>
      </c>
      <c r="H9" s="273">
        <v>99.1</v>
      </c>
      <c r="I9" s="273">
        <v>97.8</v>
      </c>
      <c r="J9" s="311"/>
    </row>
    <row r="10" spans="1:11" ht="15.65" customHeight="1">
      <c r="A10" s="312" t="s">
        <v>510</v>
      </c>
      <c r="B10" s="273">
        <v>68.599999999999994</v>
      </c>
      <c r="C10" s="273">
        <v>67</v>
      </c>
      <c r="D10" s="311"/>
      <c r="G10" s="312" t="s">
        <v>510</v>
      </c>
      <c r="H10" s="273">
        <v>68.2</v>
      </c>
      <c r="I10" s="273">
        <v>64.7</v>
      </c>
      <c r="J10" s="311"/>
    </row>
    <row r="11" spans="1:11" ht="15.65" customHeight="1">
      <c r="A11" s="312" t="s">
        <v>509</v>
      </c>
      <c r="B11" s="273">
        <v>55.2</v>
      </c>
      <c r="C11" s="273">
        <v>53.1</v>
      </c>
      <c r="D11" s="311"/>
      <c r="G11" s="312" t="s">
        <v>421</v>
      </c>
      <c r="H11" s="273">
        <v>95.8</v>
      </c>
      <c r="I11" s="273">
        <v>91</v>
      </c>
      <c r="J11" s="311"/>
    </row>
    <row r="12" spans="1:11" ht="15.65" customHeight="1">
      <c r="A12" s="312" t="s">
        <v>421</v>
      </c>
      <c r="B12" s="273">
        <v>87.8</v>
      </c>
      <c r="C12" s="273">
        <v>83</v>
      </c>
      <c r="D12" s="311"/>
      <c r="F12" s="240" t="s">
        <v>178</v>
      </c>
      <c r="G12" s="312" t="s">
        <v>427</v>
      </c>
      <c r="H12" s="273">
        <v>87.4</v>
      </c>
      <c r="I12" s="273">
        <v>78.900000000000006</v>
      </c>
      <c r="J12" s="311"/>
    </row>
    <row r="13" spans="1:11" ht="15.65" customHeight="1">
      <c r="A13" s="312" t="s">
        <v>427</v>
      </c>
      <c r="B13" s="273">
        <v>77.2</v>
      </c>
      <c r="C13" s="273">
        <v>63.3</v>
      </c>
      <c r="D13" s="311"/>
      <c r="G13" s="312" t="s">
        <v>509</v>
      </c>
      <c r="H13" s="273">
        <v>64.2</v>
      </c>
      <c r="I13" s="273">
        <v>53.1</v>
      </c>
      <c r="J13" s="311"/>
    </row>
    <row r="14" spans="1:11" ht="15.65" customHeight="1"/>
    <row r="15" spans="1:11" ht="15.65" customHeight="1"/>
    <row r="16" spans="1:11" ht="15.65" customHeight="1">
      <c r="A16" s="357" t="s">
        <v>25</v>
      </c>
      <c r="B16" s="172" t="s">
        <v>614</v>
      </c>
    </row>
    <row r="17" ht="15.65" customHeight="1"/>
    <row r="18" ht="15.65" customHeight="1"/>
    <row r="19" ht="15.65" customHeight="1"/>
    <row r="20" ht="15.65" customHeight="1"/>
    <row r="21" ht="15.65" customHeight="1"/>
    <row r="22" ht="15.65" customHeight="1"/>
    <row r="23" ht="15.65" customHeight="1"/>
    <row r="24" ht="15.65" customHeight="1"/>
    <row r="25" ht="15.65" customHeight="1"/>
    <row r="26" ht="15.65" customHeight="1"/>
    <row r="27" ht="15.65" customHeight="1"/>
    <row r="28" ht="15.65" customHeight="1"/>
  </sheetData>
  <sortState xmlns:xlrd2="http://schemas.microsoft.com/office/spreadsheetml/2017/richdata2" ref="G3:K13">
    <sortCondition descending="1" ref="J3:J13"/>
  </sortState>
  <hyperlinks>
    <hyperlink ref="B16" r:id="rId1" display="https://unstats.un.org/sdgs/dataportal" xr:uid="{65064B15-2B59-4EB9-A520-3E2F403BFFB3}"/>
  </hyperlinks>
  <pageMargins left="0.7" right="0.7" top="0.75" bottom="0.75" header="0.3" footer="0.3"/>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45EFA-0144-4014-B029-054504F7061F}">
  <sheetPr>
    <tabColor theme="0" tint="-0.499984740745262"/>
  </sheetPr>
  <dimension ref="A1:AK6"/>
  <sheetViews>
    <sheetView zoomScale="70" zoomScaleNormal="70" workbookViewId="0">
      <selection activeCell="A4" sqref="A4"/>
    </sheetView>
  </sheetViews>
  <sheetFormatPr defaultRowHeight="14.5"/>
  <cols>
    <col min="1" max="1" width="10.54296875" style="240" customWidth="1"/>
    <col min="2" max="2" width="9.453125" style="240" bestFit="1" customWidth="1"/>
    <col min="3" max="37" width="8.81640625" style="240"/>
  </cols>
  <sheetData>
    <row r="1" spans="1:3" ht="16">
      <c r="A1" s="310" t="s">
        <v>488</v>
      </c>
      <c r="B1" s="310" t="s">
        <v>2</v>
      </c>
      <c r="C1" s="310" t="s">
        <v>3</v>
      </c>
    </row>
    <row r="2" spans="1:3">
      <c r="A2" s="308" t="s">
        <v>365</v>
      </c>
      <c r="B2" s="276">
        <v>18.667480000000001</v>
      </c>
      <c r="C2" s="276">
        <v>15.427860000000001</v>
      </c>
    </row>
    <row r="3" spans="1:3">
      <c r="A3" s="308" t="s">
        <v>366</v>
      </c>
      <c r="B3" s="276">
        <v>10.3073</v>
      </c>
      <c r="C3" s="276">
        <v>27.882750000000001</v>
      </c>
    </row>
    <row r="4" spans="1:3">
      <c r="A4" s="308" t="s">
        <v>367</v>
      </c>
      <c r="B4" s="276">
        <v>71.02525</v>
      </c>
      <c r="C4" s="276">
        <v>56.689329999999998</v>
      </c>
    </row>
    <row r="6" spans="1:3">
      <c r="A6" s="357" t="s">
        <v>25</v>
      </c>
      <c r="B6" s="355" t="s">
        <v>626</v>
      </c>
      <c r="C6" s="307"/>
    </row>
  </sheetData>
  <hyperlinks>
    <hyperlink ref="B6" r:id="rId1" display="https://ilostat.ilo.org/data/" xr:uid="{93E4D662-BFD0-4FD9-9467-9254E857E672}"/>
  </hyperlinks>
  <pageMargins left="0.7" right="0.7" top="0.75" bottom="0.75" header="0.3" footer="0.3"/>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ABE2-0E79-416B-A9EE-FC9385C206BC}">
  <sheetPr>
    <tabColor theme="0" tint="-0.499984740745262"/>
  </sheetPr>
  <dimension ref="A1:W11"/>
  <sheetViews>
    <sheetView zoomScale="70" zoomScaleNormal="70" workbookViewId="0">
      <selection activeCell="A2" sqref="A2"/>
    </sheetView>
  </sheetViews>
  <sheetFormatPr defaultRowHeight="14.5"/>
  <cols>
    <col min="1" max="3" width="42.54296875" style="240" customWidth="1"/>
    <col min="4" max="4" width="19.81640625" style="240" customWidth="1"/>
    <col min="5" max="23" width="8.81640625" style="240"/>
  </cols>
  <sheetData>
    <row r="1" spans="1:3" ht="37" customHeight="1">
      <c r="A1" s="323" t="s">
        <v>531</v>
      </c>
      <c r="B1" s="323" t="s">
        <v>532</v>
      </c>
      <c r="C1" s="323" t="s">
        <v>534</v>
      </c>
    </row>
    <row r="2" spans="1:3" ht="57" customHeight="1">
      <c r="A2" s="365" t="s">
        <v>638</v>
      </c>
      <c r="B2" s="365" t="s">
        <v>639</v>
      </c>
      <c r="C2" s="364" t="s">
        <v>533</v>
      </c>
    </row>
    <row r="11" spans="1:3">
      <c r="A11" s="357"/>
    </row>
  </sheetData>
  <hyperlinks>
    <hyperlink ref="C2" r:id="rId1" display="https://www3.wipo.int/ipstats/pmh-search/search-result?type=PMH&amp;selectedTab=pct&amp;indicator=1042&amp;reportType=4001&amp;fromYear=2022&amp;toYear=2024&amp;pmhOffSelValues=&amp;pmhOriSelValues=DZ,BH,KM,DJ,EG,IQ,JO,KW,LB,LY,MR,MA,OM,QA,SA,SO,SD,SY,TN,AE,YE&amp;pmhClassSelValues=" xr:uid="{97601041-5ABC-4ED9-A043-838271AEA9EE}"/>
    <hyperlink ref="A2" r:id="rId2" display="https://data.uis.unesco.org/" xr:uid="{6E52DC28-95FE-4D76-BFB2-8EC82EC3E4DA}"/>
    <hyperlink ref="B2" r:id="rId3" display="https://databank.worldbank.org/source/world-development-indicators" xr:uid="{50233519-599E-4FDE-9752-F325453589D8}"/>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80033-3032-4E81-9642-F80940FFD430}">
  <sheetPr codeName="Sheet50">
    <tabColor theme="6" tint="0.39997558519241921"/>
  </sheetPr>
  <dimension ref="A1:S10"/>
  <sheetViews>
    <sheetView showGridLines="0" zoomScale="70" zoomScaleNormal="70" workbookViewId="0">
      <pane xSplit="1" ySplit="2" topLeftCell="B3" activePane="bottomRight" state="frozen"/>
      <selection pane="topRight" activeCell="A2" sqref="A2"/>
      <selection pane="bottomLeft" activeCell="A2" sqref="A2"/>
      <selection pane="bottomRight" activeCell="A6" sqref="A6"/>
    </sheetView>
  </sheetViews>
  <sheetFormatPr defaultRowHeight="14.5"/>
  <cols>
    <col min="1" max="1" width="16.453125" bestFit="1" customWidth="1"/>
    <col min="2" max="9" width="8.54296875" customWidth="1"/>
    <col min="10" max="10" width="12.453125" customWidth="1"/>
    <col min="11" max="11" width="10.453125" customWidth="1"/>
    <col min="12" max="12" width="8.54296875" customWidth="1"/>
    <col min="13" max="13" width="9.453125" customWidth="1"/>
    <col min="14" max="14" width="10.81640625" customWidth="1"/>
    <col min="15" max="15" width="9.453125" customWidth="1"/>
    <col min="16" max="16" width="8.54296875" customWidth="1"/>
    <col min="17" max="17" width="11.54296875" customWidth="1"/>
    <col min="18" max="18" width="14.453125" customWidth="1"/>
    <col min="19" max="19" width="8.54296875" customWidth="1"/>
  </cols>
  <sheetData>
    <row r="1" spans="1:19" ht="16">
      <c r="B1" s="529" t="s">
        <v>379</v>
      </c>
      <c r="C1" s="529"/>
      <c r="D1" s="529"/>
      <c r="E1" s="529"/>
      <c r="F1" s="529"/>
      <c r="G1" s="529"/>
      <c r="H1" s="529"/>
      <c r="I1" s="529"/>
      <c r="J1" s="529"/>
      <c r="K1" s="529"/>
      <c r="L1" s="529"/>
      <c r="M1" s="529"/>
      <c r="N1" s="529"/>
      <c r="O1" s="529"/>
      <c r="P1" s="529"/>
      <c r="Q1" s="529"/>
      <c r="R1" s="529"/>
      <c r="S1" s="529"/>
    </row>
    <row r="2" spans="1:19" s="52" customFormat="1" ht="42" customHeight="1">
      <c r="A2" s="186" t="s">
        <v>4</v>
      </c>
      <c r="B2" s="187" t="s">
        <v>181</v>
      </c>
      <c r="C2" s="187" t="s">
        <v>380</v>
      </c>
      <c r="D2" s="187" t="s">
        <v>149</v>
      </c>
      <c r="E2" s="187" t="s">
        <v>181</v>
      </c>
      <c r="F2" s="187" t="s">
        <v>381</v>
      </c>
      <c r="G2" s="187" t="s">
        <v>382</v>
      </c>
      <c r="H2" s="187" t="s">
        <v>383</v>
      </c>
      <c r="I2" s="187" t="s">
        <v>384</v>
      </c>
      <c r="J2" s="187" t="s">
        <v>385</v>
      </c>
      <c r="K2" s="187" t="s">
        <v>386</v>
      </c>
      <c r="L2" s="187" t="s">
        <v>387</v>
      </c>
      <c r="M2" s="187" t="s">
        <v>388</v>
      </c>
      <c r="N2" s="187" t="s">
        <v>389</v>
      </c>
      <c r="O2" s="187" t="s">
        <v>390</v>
      </c>
      <c r="P2" s="187" t="s">
        <v>391</v>
      </c>
      <c r="Q2" s="187" t="s">
        <v>392</v>
      </c>
      <c r="R2" s="187" t="s">
        <v>393</v>
      </c>
      <c r="S2" s="187" t="s">
        <v>394</v>
      </c>
    </row>
    <row r="3" spans="1:19">
      <c r="A3" s="35" t="s">
        <v>40</v>
      </c>
      <c r="B3" s="35" t="s">
        <v>115</v>
      </c>
      <c r="C3" s="105">
        <v>17.100000000000001</v>
      </c>
      <c r="D3" s="105">
        <v>6</v>
      </c>
      <c r="E3" s="105">
        <v>6</v>
      </c>
      <c r="F3" s="105"/>
      <c r="G3" s="105"/>
      <c r="H3" s="105">
        <v>4.4000000000000004</v>
      </c>
      <c r="I3" s="105"/>
      <c r="J3" s="105"/>
      <c r="K3" s="105">
        <v>6.6</v>
      </c>
      <c r="L3" s="105">
        <v>2.5</v>
      </c>
      <c r="M3" s="105"/>
      <c r="N3" s="105"/>
      <c r="O3" s="105"/>
      <c r="P3" s="105"/>
      <c r="Q3" s="105">
        <v>4.2</v>
      </c>
      <c r="R3" s="105"/>
      <c r="S3" s="105">
        <v>6.9</v>
      </c>
    </row>
    <row r="4" spans="1:19">
      <c r="A4" s="35" t="s">
        <v>40</v>
      </c>
      <c r="B4" s="35" t="s">
        <v>116</v>
      </c>
      <c r="C4" s="105">
        <v>22.6</v>
      </c>
      <c r="D4" s="105">
        <v>5.5</v>
      </c>
      <c r="E4" s="105">
        <v>3.8</v>
      </c>
      <c r="F4" s="105"/>
      <c r="G4" s="105"/>
      <c r="H4" s="105">
        <v>8.6999999999999993</v>
      </c>
      <c r="I4" s="105"/>
      <c r="J4" s="105"/>
      <c r="K4" s="105">
        <v>4.8</v>
      </c>
      <c r="L4" s="105">
        <v>2.9</v>
      </c>
      <c r="M4" s="105"/>
      <c r="N4" s="105"/>
      <c r="O4" s="105"/>
      <c r="P4" s="105"/>
      <c r="Q4" s="105">
        <v>4.4000000000000004</v>
      </c>
      <c r="R4" s="105"/>
      <c r="S4" s="105">
        <v>10.3</v>
      </c>
    </row>
    <row r="5" spans="1:19">
      <c r="A5" s="35" t="s">
        <v>51</v>
      </c>
      <c r="B5" s="35" t="s">
        <v>115</v>
      </c>
      <c r="C5" s="105">
        <v>6.9</v>
      </c>
      <c r="D5" s="105">
        <v>0.9</v>
      </c>
      <c r="E5" s="105">
        <v>1.4</v>
      </c>
      <c r="F5" s="105">
        <v>1.9</v>
      </c>
      <c r="G5" s="105">
        <v>0.4</v>
      </c>
      <c r="H5" s="105">
        <v>0.8</v>
      </c>
      <c r="I5" s="105">
        <v>0.2</v>
      </c>
      <c r="J5" s="105"/>
      <c r="K5" s="105"/>
      <c r="L5" s="105"/>
      <c r="M5" s="105">
        <v>0.3</v>
      </c>
      <c r="N5" s="105">
        <v>2.2999999999999998</v>
      </c>
      <c r="O5" s="105"/>
      <c r="P5" s="105"/>
      <c r="Q5" s="105"/>
      <c r="R5" s="105">
        <v>2.5</v>
      </c>
      <c r="S5" s="105">
        <v>0.3</v>
      </c>
    </row>
    <row r="6" spans="1:19">
      <c r="A6" s="35" t="s">
        <v>51</v>
      </c>
      <c r="B6" s="35" t="s">
        <v>116</v>
      </c>
      <c r="C6" s="105">
        <v>7.8</v>
      </c>
      <c r="D6" s="105">
        <v>0.8</v>
      </c>
      <c r="E6" s="105">
        <v>1.1000000000000001</v>
      </c>
      <c r="F6" s="105">
        <v>1.8</v>
      </c>
      <c r="G6" s="105">
        <v>2.7</v>
      </c>
      <c r="H6" s="105">
        <v>0.5</v>
      </c>
      <c r="I6" s="105">
        <v>0.2</v>
      </c>
      <c r="J6" s="105"/>
      <c r="K6" s="105"/>
      <c r="L6" s="105"/>
      <c r="M6" s="105">
        <v>0.5</v>
      </c>
      <c r="N6" s="105">
        <v>2.2000000000000002</v>
      </c>
      <c r="O6" s="105"/>
      <c r="P6" s="105"/>
      <c r="Q6" s="105"/>
      <c r="R6" s="105">
        <v>2.6</v>
      </c>
      <c r="S6" s="105">
        <v>0.3</v>
      </c>
    </row>
    <row r="7" spans="1:19">
      <c r="A7" s="35" t="s">
        <v>42</v>
      </c>
      <c r="B7" s="35" t="s">
        <v>115</v>
      </c>
      <c r="C7" s="105">
        <v>28.9</v>
      </c>
      <c r="D7" s="105"/>
      <c r="E7" s="105">
        <v>9.3000000000000007</v>
      </c>
      <c r="F7" s="105">
        <v>5.8</v>
      </c>
      <c r="G7" s="105">
        <v>1.8</v>
      </c>
      <c r="H7" s="105"/>
      <c r="I7" s="105"/>
      <c r="J7" s="105"/>
      <c r="K7" s="105"/>
      <c r="L7" s="105"/>
      <c r="M7" s="105">
        <v>2.1</v>
      </c>
      <c r="N7" s="105">
        <v>11.3</v>
      </c>
      <c r="O7" s="105">
        <v>9</v>
      </c>
      <c r="P7" s="105">
        <v>1.8</v>
      </c>
      <c r="Q7" s="105"/>
      <c r="R7" s="105">
        <v>14.6</v>
      </c>
      <c r="S7" s="105"/>
    </row>
    <row r="8" spans="1:19">
      <c r="A8" s="35" t="s">
        <v>42</v>
      </c>
      <c r="B8" s="35" t="s">
        <v>116</v>
      </c>
      <c r="C8" s="105">
        <v>27.1</v>
      </c>
      <c r="D8" s="105"/>
      <c r="E8" s="105">
        <v>3.7</v>
      </c>
      <c r="F8" s="105">
        <v>1.5</v>
      </c>
      <c r="G8" s="105">
        <v>4.5999999999999996</v>
      </c>
      <c r="H8" s="105"/>
      <c r="I8" s="105"/>
      <c r="J8" s="105"/>
      <c r="K8" s="105"/>
      <c r="L8" s="105"/>
      <c r="M8" s="105">
        <v>2.2000000000000002</v>
      </c>
      <c r="N8" s="105">
        <v>12.4</v>
      </c>
      <c r="O8" s="105">
        <v>7.9</v>
      </c>
      <c r="P8" s="105">
        <v>1.3</v>
      </c>
      <c r="Q8" s="105"/>
      <c r="R8" s="105">
        <v>14.9</v>
      </c>
      <c r="S8" s="105"/>
    </row>
    <row r="10" spans="1:19">
      <c r="A10" t="s">
        <v>395</v>
      </c>
    </row>
  </sheetData>
  <mergeCells count="1">
    <mergeCell ref="B1:S1"/>
  </mergeCells>
  <pageMargins left="0.7" right="0.7" top="0.75" bottom="0.75" header="0.3" footer="0.3"/>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BED81-4D7B-4293-8709-F5DBD5E06AAD}">
  <sheetPr codeName="Sheet51">
    <tabColor theme="4" tint="0.39997558519241921"/>
  </sheetPr>
  <dimension ref="A1:F24"/>
  <sheetViews>
    <sheetView showGridLines="0" zoomScale="70" zoomScaleNormal="70" workbookViewId="0">
      <selection activeCell="D1" sqref="D1:E1"/>
    </sheetView>
  </sheetViews>
  <sheetFormatPr defaultRowHeight="14.5"/>
  <cols>
    <col min="1" max="1" width="13.81640625" bestFit="1" customWidth="1"/>
    <col min="2" max="2" width="43.81640625" bestFit="1" customWidth="1"/>
    <col min="4" max="4" width="14.54296875" style="191" bestFit="1" customWidth="1"/>
    <col min="5" max="5" width="13.54296875" style="191" bestFit="1" customWidth="1"/>
    <col min="6" max="6" width="8.81640625" style="42"/>
  </cols>
  <sheetData>
    <row r="1" spans="1:6">
      <c r="D1" s="530" t="s">
        <v>396</v>
      </c>
      <c r="E1" s="530"/>
    </row>
    <row r="2" spans="1:6">
      <c r="A2" s="35" t="s">
        <v>104</v>
      </c>
      <c r="B2" s="35" t="s">
        <v>397</v>
      </c>
      <c r="C2" s="35" t="s">
        <v>181</v>
      </c>
      <c r="D2" s="188" t="s">
        <v>110</v>
      </c>
      <c r="E2" s="188" t="s">
        <v>398</v>
      </c>
    </row>
    <row r="3" spans="1:6">
      <c r="A3" s="35">
        <v>2023</v>
      </c>
      <c r="B3" s="35" t="s">
        <v>399</v>
      </c>
      <c r="C3" s="35" t="s">
        <v>114</v>
      </c>
      <c r="D3" s="189">
        <v>68278300</v>
      </c>
      <c r="E3" s="189">
        <v>27706000</v>
      </c>
    </row>
    <row r="4" spans="1:6">
      <c r="A4" s="35">
        <v>2023</v>
      </c>
      <c r="B4" s="35" t="s">
        <v>399</v>
      </c>
      <c r="C4" s="35" t="s">
        <v>115</v>
      </c>
      <c r="D4" s="189">
        <v>34563538</v>
      </c>
      <c r="E4" s="189">
        <v>13231131</v>
      </c>
      <c r="F4"/>
    </row>
    <row r="5" spans="1:6">
      <c r="A5" s="35">
        <v>2023</v>
      </c>
      <c r="B5" s="35" t="s">
        <v>399</v>
      </c>
      <c r="C5" s="35" t="s">
        <v>116</v>
      </c>
      <c r="D5" s="189">
        <v>33714762</v>
      </c>
      <c r="E5" s="189">
        <v>14474869</v>
      </c>
      <c r="F5"/>
    </row>
    <row r="6" spans="1:6">
      <c r="A6" s="35">
        <v>2023</v>
      </c>
      <c r="B6" s="35" t="s">
        <v>400</v>
      </c>
      <c r="C6" s="35" t="s">
        <v>114</v>
      </c>
      <c r="D6" s="189">
        <v>26242920</v>
      </c>
      <c r="E6" s="189">
        <v>8682062</v>
      </c>
    </row>
    <row r="7" spans="1:6">
      <c r="A7" s="35">
        <v>2023</v>
      </c>
      <c r="B7" s="35" t="str">
        <f>B6</f>
        <v>Refugee and People in refugee-like situation</v>
      </c>
      <c r="C7" s="35" t="s">
        <v>115</v>
      </c>
      <c r="D7" s="189">
        <v>12999461</v>
      </c>
      <c r="E7" s="189">
        <v>4123910</v>
      </c>
      <c r="F7"/>
    </row>
    <row r="8" spans="1:6">
      <c r="A8" s="35">
        <v>2023</v>
      </c>
      <c r="B8" s="35" t="str">
        <f>B7</f>
        <v>Refugee and People in refugee-like situation</v>
      </c>
      <c r="C8" s="35" t="s">
        <v>116</v>
      </c>
      <c r="D8" s="189">
        <v>13243459</v>
      </c>
      <c r="E8" s="189">
        <v>4558152</v>
      </c>
      <c r="F8"/>
    </row>
    <row r="9" spans="1:6">
      <c r="A9" s="35">
        <v>2023</v>
      </c>
      <c r="B9" s="35" t="s">
        <v>401</v>
      </c>
      <c r="C9" s="35" t="s">
        <v>114</v>
      </c>
      <c r="D9" s="189">
        <v>5973022</v>
      </c>
      <c r="E9" s="189">
        <v>5973022</v>
      </c>
    </row>
    <row r="10" spans="1:6">
      <c r="A10" s="35">
        <v>2023</v>
      </c>
      <c r="B10" s="35" t="s">
        <v>401</v>
      </c>
      <c r="C10" s="35" t="s">
        <v>115</v>
      </c>
      <c r="D10" s="189">
        <v>2942151</v>
      </c>
      <c r="E10" s="189">
        <v>2942151</v>
      </c>
      <c r="F10"/>
    </row>
    <row r="11" spans="1:6">
      <c r="A11" s="35">
        <v>2023</v>
      </c>
      <c r="B11" s="35" t="s">
        <v>401</v>
      </c>
      <c r="C11" s="35" t="s">
        <v>116</v>
      </c>
      <c r="D11" s="189">
        <v>3030871</v>
      </c>
      <c r="E11" s="189">
        <v>3030871</v>
      </c>
      <c r="F11"/>
    </row>
    <row r="12" spans="1:6">
      <c r="A12" s="35">
        <v>2023</v>
      </c>
      <c r="B12" s="35" t="s">
        <v>402</v>
      </c>
      <c r="C12" s="35" t="s">
        <v>114</v>
      </c>
      <c r="D12" s="189">
        <v>2719799</v>
      </c>
      <c r="E12" s="189">
        <v>708284</v>
      </c>
    </row>
    <row r="13" spans="1:6">
      <c r="A13" s="35">
        <v>2023</v>
      </c>
      <c r="B13" s="35" t="str">
        <f t="shared" ref="B13:B14" si="0">B12</f>
        <v>Asylum-seekers</v>
      </c>
      <c r="C13" s="35" t="s">
        <v>115</v>
      </c>
      <c r="D13" s="189">
        <v>1093523</v>
      </c>
      <c r="E13" s="189">
        <v>264647</v>
      </c>
      <c r="F13"/>
    </row>
    <row r="14" spans="1:6">
      <c r="A14" s="35">
        <v>2023</v>
      </c>
      <c r="B14" s="35" t="str">
        <f t="shared" si="0"/>
        <v>Asylum-seekers</v>
      </c>
      <c r="C14" s="35" t="s">
        <v>116</v>
      </c>
      <c r="D14" s="189">
        <v>1626276</v>
      </c>
      <c r="E14" s="189">
        <v>443637</v>
      </c>
      <c r="F14"/>
    </row>
    <row r="15" spans="1:6">
      <c r="A15" s="35">
        <v>2023</v>
      </c>
      <c r="B15" s="35" t="s">
        <v>403</v>
      </c>
      <c r="C15" s="35" t="s">
        <v>114</v>
      </c>
      <c r="D15" s="189">
        <v>3778063</v>
      </c>
      <c r="E15" s="189">
        <v>97848</v>
      </c>
      <c r="F15" s="190"/>
    </row>
    <row r="16" spans="1:6">
      <c r="A16" s="35">
        <v>2023</v>
      </c>
      <c r="B16" s="35" t="str">
        <f t="shared" ref="B16:B17" si="1">B15</f>
        <v>Others of concern</v>
      </c>
      <c r="C16" s="35" t="s">
        <v>115</v>
      </c>
      <c r="D16" s="189">
        <v>2037801</v>
      </c>
      <c r="E16" s="189">
        <v>54496</v>
      </c>
      <c r="F16"/>
    </row>
    <row r="17" spans="1:6">
      <c r="A17" s="35">
        <v>2023</v>
      </c>
      <c r="B17" s="35" t="str">
        <f t="shared" si="1"/>
        <v>Others of concern</v>
      </c>
      <c r="C17" s="35" t="s">
        <v>116</v>
      </c>
      <c r="D17" s="189">
        <v>1740262</v>
      </c>
      <c r="E17" s="189">
        <v>43352</v>
      </c>
      <c r="F17"/>
    </row>
    <row r="18" spans="1:6">
      <c r="A18" s="35">
        <v>2023</v>
      </c>
      <c r="B18" s="35" t="s">
        <v>404</v>
      </c>
      <c r="C18" s="35" t="s">
        <v>114</v>
      </c>
      <c r="D18" s="189">
        <v>5102655</v>
      </c>
      <c r="E18" s="189"/>
      <c r="F18" s="190"/>
    </row>
    <row r="19" spans="1:6">
      <c r="A19" s="35">
        <v>2023</v>
      </c>
      <c r="B19" s="35" t="str">
        <f t="shared" ref="B19:B20" si="2">B18</f>
        <v>Other people in need of international protection</v>
      </c>
      <c r="C19" s="35" t="s">
        <v>115</v>
      </c>
      <c r="D19" s="189">
        <v>2642148</v>
      </c>
      <c r="E19" s="189"/>
      <c r="F19"/>
    </row>
    <row r="20" spans="1:6">
      <c r="A20" s="35">
        <v>2023</v>
      </c>
      <c r="B20" s="35" t="str">
        <f t="shared" si="2"/>
        <v>Other people in need of international protection</v>
      </c>
      <c r="C20" s="35" t="s">
        <v>116</v>
      </c>
      <c r="D20" s="189">
        <v>2460507</v>
      </c>
      <c r="E20" s="189"/>
      <c r="F20"/>
    </row>
    <row r="22" spans="1:6">
      <c r="A22" t="s">
        <v>405</v>
      </c>
    </row>
    <row r="24" spans="1:6">
      <c r="A24" t="s">
        <v>406</v>
      </c>
    </row>
  </sheetData>
  <mergeCells count="1">
    <mergeCell ref="D1:E1"/>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BD5E3-F647-4265-89C1-A1C222DCD688}">
  <sheetPr codeName="Sheet52">
    <tabColor theme="4" tint="0.39997558519241921"/>
  </sheetPr>
  <dimension ref="A1:G22"/>
  <sheetViews>
    <sheetView showGridLines="0" zoomScale="70" zoomScaleNormal="70" workbookViewId="0">
      <selection activeCell="G1" sqref="G1"/>
    </sheetView>
  </sheetViews>
  <sheetFormatPr defaultRowHeight="14.5"/>
  <cols>
    <col min="1" max="1" width="16.54296875" customWidth="1"/>
    <col min="2" max="2" width="13.453125" style="53" bestFit="1" customWidth="1"/>
    <col min="3" max="3" width="20.54296875" bestFit="1" customWidth="1"/>
  </cols>
  <sheetData>
    <row r="1" spans="1:7">
      <c r="A1" s="35" t="s">
        <v>113</v>
      </c>
      <c r="B1" s="44" t="s">
        <v>104</v>
      </c>
      <c r="C1" s="239" t="s">
        <v>407</v>
      </c>
      <c r="G1" t="s">
        <v>408</v>
      </c>
    </row>
    <row r="2" spans="1:7">
      <c r="A2" s="35" t="s">
        <v>67</v>
      </c>
      <c r="B2" s="44">
        <v>2004</v>
      </c>
      <c r="C2" s="105">
        <v>14.023999999999999</v>
      </c>
    </row>
    <row r="3" spans="1:7">
      <c r="A3" s="35" t="s">
        <v>67</v>
      </c>
      <c r="B3" s="44">
        <v>2005</v>
      </c>
      <c r="C3" s="105">
        <v>14.567</v>
      </c>
    </row>
    <row r="4" spans="1:7">
      <c r="A4" s="35" t="s">
        <v>67</v>
      </c>
      <c r="B4" s="44">
        <v>2006</v>
      </c>
      <c r="C4" s="105">
        <v>15.025</v>
      </c>
    </row>
    <row r="5" spans="1:7">
      <c r="A5" s="35" t="s">
        <v>67</v>
      </c>
      <c r="B5" s="44">
        <v>2007</v>
      </c>
      <c r="C5" s="105">
        <v>15.811999999999999</v>
      </c>
    </row>
    <row r="6" spans="1:7">
      <c r="A6" s="35" t="s">
        <v>67</v>
      </c>
      <c r="B6" s="44">
        <v>2008</v>
      </c>
      <c r="C6" s="105">
        <v>15.574999999999999</v>
      </c>
    </row>
    <row r="7" spans="1:7">
      <c r="A7" s="35" t="s">
        <v>67</v>
      </c>
      <c r="B7" s="44">
        <v>2009</v>
      </c>
      <c r="C7" s="105">
        <v>14.986000000000001</v>
      </c>
    </row>
    <row r="8" spans="1:7">
      <c r="A8" s="35" t="s">
        <v>67</v>
      </c>
      <c r="B8" s="44">
        <v>2010</v>
      </c>
      <c r="C8" s="105">
        <v>15.141</v>
      </c>
    </row>
    <row r="9" spans="1:7">
      <c r="A9" s="35" t="s">
        <v>67</v>
      </c>
      <c r="B9" s="44">
        <v>2011</v>
      </c>
      <c r="C9" s="105">
        <v>15.679</v>
      </c>
    </row>
    <row r="10" spans="1:7">
      <c r="A10" s="35" t="s">
        <v>67</v>
      </c>
      <c r="B10" s="44">
        <v>2012</v>
      </c>
      <c r="C10" s="105">
        <v>15.598000000000001</v>
      </c>
    </row>
    <row r="11" spans="1:7">
      <c r="A11" s="35" t="s">
        <v>67</v>
      </c>
      <c r="B11" s="44">
        <v>2013</v>
      </c>
      <c r="C11" s="105">
        <v>15.448</v>
      </c>
    </row>
    <row r="12" spans="1:7">
      <c r="A12" s="35" t="s">
        <v>67</v>
      </c>
      <c r="B12" s="44">
        <v>2014</v>
      </c>
      <c r="C12" s="105">
        <v>15.269</v>
      </c>
    </row>
    <row r="13" spans="1:7">
      <c r="A13" s="35" t="s">
        <v>67</v>
      </c>
      <c r="B13" s="44">
        <v>2015</v>
      </c>
      <c r="C13" s="105">
        <v>15.06</v>
      </c>
    </row>
    <row r="14" spans="1:7">
      <c r="A14" s="35" t="s">
        <v>67</v>
      </c>
      <c r="B14" s="44">
        <v>2016</v>
      </c>
      <c r="C14" s="105">
        <v>15.026</v>
      </c>
    </row>
    <row r="15" spans="1:7">
      <c r="A15" s="35" t="s">
        <v>67</v>
      </c>
      <c r="B15" s="44">
        <v>2017</v>
      </c>
      <c r="C15" s="105">
        <v>14.417</v>
      </c>
    </row>
    <row r="16" spans="1:7">
      <c r="A16" s="35" t="s">
        <v>67</v>
      </c>
      <c r="B16" s="44">
        <v>2018</v>
      </c>
      <c r="C16" s="105">
        <v>14.695</v>
      </c>
    </row>
    <row r="17" spans="1:3">
      <c r="A17" s="35" t="s">
        <v>67</v>
      </c>
      <c r="B17" s="44">
        <v>2019</v>
      </c>
      <c r="C17" s="105">
        <v>13.368</v>
      </c>
    </row>
    <row r="18" spans="1:3">
      <c r="A18" s="35" t="s">
        <v>67</v>
      </c>
      <c r="B18" s="44">
        <v>2020</v>
      </c>
      <c r="C18" s="105">
        <v>13.491</v>
      </c>
    </row>
    <row r="19" spans="1:3">
      <c r="A19" s="35" t="s">
        <v>67</v>
      </c>
      <c r="B19" s="44">
        <v>2021</v>
      </c>
      <c r="C19" s="105">
        <v>14.327999999999999</v>
      </c>
    </row>
    <row r="20" spans="1:3">
      <c r="A20" s="35" t="s">
        <v>67</v>
      </c>
      <c r="B20" s="44">
        <v>2022</v>
      </c>
      <c r="C20" s="105">
        <v>14.147</v>
      </c>
    </row>
    <row r="21" spans="1:3">
      <c r="A21" s="35" t="s">
        <v>67</v>
      </c>
      <c r="B21" s="44">
        <v>2023</v>
      </c>
      <c r="C21" s="105">
        <v>14.372</v>
      </c>
    </row>
    <row r="22" spans="1:3">
      <c r="A22" s="35" t="s">
        <v>67</v>
      </c>
      <c r="B22" s="44">
        <v>2024</v>
      </c>
      <c r="C22" s="105">
        <v>14.518000000000001</v>
      </c>
    </row>
  </sheetData>
  <autoFilter ref="A1:C22" xr:uid="{E785CF1B-D533-4511-B4FD-CC1A5D9CAAF9}">
    <sortState xmlns:xlrd2="http://schemas.microsoft.com/office/spreadsheetml/2017/richdata2" ref="A2:C22">
      <sortCondition ref="B2:B22"/>
    </sortState>
  </autoFilter>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BA54-6155-46BC-93FD-9424E8486739}">
  <sheetPr>
    <tabColor theme="0" tint="-0.499984740745262"/>
  </sheetPr>
  <dimension ref="A1:AS4"/>
  <sheetViews>
    <sheetView zoomScale="70" zoomScaleNormal="70" workbookViewId="0">
      <selection sqref="A1:A2"/>
    </sheetView>
  </sheetViews>
  <sheetFormatPr defaultRowHeight="14.5"/>
  <cols>
    <col min="1" max="1" width="14.81640625" style="240" customWidth="1"/>
    <col min="2" max="45" width="21.54296875" style="240" customWidth="1"/>
  </cols>
  <sheetData>
    <row r="1" spans="1:2">
      <c r="A1" s="308" t="s">
        <v>67</v>
      </c>
      <c r="B1" s="313">
        <v>14.517999649047852</v>
      </c>
    </row>
    <row r="2" spans="1:2">
      <c r="A2" s="308" t="s">
        <v>110</v>
      </c>
      <c r="B2" s="313">
        <v>51.834999084472656</v>
      </c>
    </row>
    <row r="4" spans="1:2">
      <c r="A4" s="357" t="s">
        <v>25</v>
      </c>
      <c r="B4" s="172" t="s">
        <v>626</v>
      </c>
    </row>
  </sheetData>
  <hyperlinks>
    <hyperlink ref="B4" r:id="rId1" display="https://ilostat.ilo.org/data/" xr:uid="{0E3147F8-442E-43F6-A011-224A84B0B161}"/>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2012F-4954-44A9-A9EB-AC9956D516A6}">
  <sheetPr>
    <tabColor theme="7"/>
  </sheetPr>
  <dimension ref="A1:AB14"/>
  <sheetViews>
    <sheetView zoomScale="70" zoomScaleNormal="70" workbookViewId="0">
      <selection activeCell="A34" sqref="A34"/>
    </sheetView>
  </sheetViews>
  <sheetFormatPr defaultRowHeight="14.5"/>
  <cols>
    <col min="1" max="1" width="72.453125" style="240" customWidth="1"/>
    <col min="2" max="28" width="8.81640625" style="240"/>
  </cols>
  <sheetData>
    <row r="1" spans="1:2">
      <c r="A1" s="13" t="s">
        <v>663</v>
      </c>
      <c r="B1" s="274">
        <v>22</v>
      </c>
    </row>
    <row r="2" spans="1:2">
      <c r="A2" s="13" t="s">
        <v>665</v>
      </c>
      <c r="B2" s="274">
        <v>21</v>
      </c>
    </row>
    <row r="3" spans="1:2">
      <c r="A3" s="13" t="s">
        <v>662</v>
      </c>
      <c r="B3" s="274">
        <v>21</v>
      </c>
    </row>
    <row r="4" spans="1:2">
      <c r="A4" s="13" t="s">
        <v>661</v>
      </c>
      <c r="B4" s="274">
        <v>21</v>
      </c>
    </row>
    <row r="5" spans="1:2">
      <c r="A5" s="13" t="s">
        <v>664</v>
      </c>
      <c r="B5" s="274">
        <v>20</v>
      </c>
    </row>
    <row r="6" spans="1:2">
      <c r="A6" s="13" t="s">
        <v>513</v>
      </c>
      <c r="B6" s="274">
        <v>14</v>
      </c>
    </row>
    <row r="10" spans="1:2">
      <c r="A10" s="351" t="s">
        <v>605</v>
      </c>
    </row>
    <row r="11" spans="1:2">
      <c r="A11" s="333" t="s">
        <v>612</v>
      </c>
    </row>
    <row r="13" spans="1:2">
      <c r="A13" s="240" t="s">
        <v>513</v>
      </c>
    </row>
    <row r="14" spans="1:2">
      <c r="A14" s="172" t="s">
        <v>671</v>
      </c>
    </row>
  </sheetData>
  <sortState xmlns:xlrd2="http://schemas.microsoft.com/office/spreadsheetml/2017/richdata2" ref="A2:B6">
    <sortCondition descending="1" ref="B6"/>
  </sortState>
  <hyperlinks>
    <hyperlink ref="A11" r:id="rId1" display="https://normlex.ilo.org/dyn/normlex/en/f?p=NORMLEXPUB:1:3526778322627" xr:uid="{F0CA5CB4-BCF8-4CB5-8EE2-59BD9CF04EE9}"/>
    <hyperlink ref="A14" r:id="rId2" xr:uid="{5E67AD3D-C689-4E51-89F5-93FC8E0A6BC2}"/>
  </hyperlinks>
  <pageMargins left="0.7" right="0.7" top="0.75" bottom="0.75" header="0.3" footer="0.3"/>
  <drawing r:id="rId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AF977-6A61-49AE-90BB-805B77CAA037}">
  <sheetPr>
    <tabColor theme="0" tint="-0.499984740745262"/>
  </sheetPr>
  <dimension ref="A1:Y2"/>
  <sheetViews>
    <sheetView zoomScale="70" zoomScaleNormal="70" workbookViewId="0">
      <selection activeCell="B1" sqref="B1"/>
    </sheetView>
  </sheetViews>
  <sheetFormatPr defaultRowHeight="14.5"/>
  <cols>
    <col min="1" max="13" width="8.81640625" style="240"/>
    <col min="14" max="16" width="23.1796875" style="240" customWidth="1"/>
    <col min="17" max="25" width="8.81640625" style="240"/>
  </cols>
  <sheetData>
    <row r="1" spans="2:16" ht="118" customHeight="1">
      <c r="B1" s="389" t="s">
        <v>676</v>
      </c>
      <c r="N1" s="384" t="s">
        <v>478</v>
      </c>
      <c r="O1" s="384" t="s">
        <v>479</v>
      </c>
      <c r="P1" s="384" t="s">
        <v>480</v>
      </c>
    </row>
    <row r="2" spans="2:16" ht="72" customHeight="1">
      <c r="N2" s="371" t="s">
        <v>482</v>
      </c>
      <c r="O2" s="371" t="s">
        <v>483</v>
      </c>
      <c r="P2" s="371" t="s">
        <v>645</v>
      </c>
    </row>
  </sheetData>
  <hyperlinks>
    <hyperlink ref="O2" r:id="rId1" xr:uid="{D2229BC5-6AC2-4784-8D7E-16E698ADF4EC}"/>
    <hyperlink ref="P2" r:id="rId2" xr:uid="{5ABB31E5-72FB-4E72-9413-150C17607DF1}"/>
  </hyperlinks>
  <pageMargins left="0.7" right="0.7" top="0.75" bottom="0.75" header="0.3" footer="0.3"/>
  <drawing r:id="rId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F879-CD5D-495E-9A75-1E2BBC5B7488}">
  <sheetPr codeName="Sheet53">
    <tabColor theme="6" tint="0.39997558519241921"/>
  </sheetPr>
  <dimension ref="A1:D62"/>
  <sheetViews>
    <sheetView showGridLines="0" zoomScale="70" zoomScaleNormal="70" workbookViewId="0">
      <pane xSplit="2" ySplit="2" topLeftCell="C3" activePane="bottomRight" state="frozen"/>
      <selection pane="topRight" activeCell="C1" sqref="C1"/>
      <selection pane="bottomLeft" activeCell="A2" sqref="A2"/>
      <selection pane="bottomRight" activeCell="C1" sqref="C1:D1"/>
    </sheetView>
  </sheetViews>
  <sheetFormatPr defaultColWidth="8.81640625" defaultRowHeight="13"/>
  <cols>
    <col min="1" max="1" width="12.1796875" style="4" bestFit="1" customWidth="1"/>
    <col min="2" max="2" width="9.54296875" style="4" bestFit="1" customWidth="1"/>
    <col min="3" max="3" width="14.54296875" style="4" customWidth="1"/>
    <col min="4" max="4" width="16" style="4" customWidth="1"/>
    <col min="5" max="16384" width="8.81640625" style="4"/>
  </cols>
  <sheetData>
    <row r="1" spans="1:4" ht="16">
      <c r="A1" s="4" t="s">
        <v>512</v>
      </c>
      <c r="C1" s="531" t="s">
        <v>409</v>
      </c>
      <c r="D1" s="531"/>
    </row>
    <row r="2" spans="1:4">
      <c r="A2" s="38" t="s">
        <v>113</v>
      </c>
      <c r="B2" s="38" t="s">
        <v>104</v>
      </c>
      <c r="C2" s="192" t="s">
        <v>112</v>
      </c>
      <c r="D2" s="193" t="s">
        <v>410</v>
      </c>
    </row>
    <row r="3" spans="1:4">
      <c r="A3" s="38" t="s">
        <v>67</v>
      </c>
      <c r="B3" s="38">
        <v>2000</v>
      </c>
      <c r="C3" s="57">
        <v>34</v>
      </c>
      <c r="D3" s="55">
        <v>51023</v>
      </c>
    </row>
    <row r="4" spans="1:4">
      <c r="A4" s="38" t="s">
        <v>67</v>
      </c>
      <c r="B4" s="38">
        <v>2002</v>
      </c>
      <c r="C4" s="57">
        <v>36.6</v>
      </c>
      <c r="D4" s="55">
        <v>57980</v>
      </c>
    </row>
    <row r="5" spans="1:4">
      <c r="A5" s="38" t="s">
        <v>67</v>
      </c>
      <c r="B5" s="38">
        <v>2004</v>
      </c>
      <c r="C5" s="57">
        <v>35.1</v>
      </c>
      <c r="D5" s="55">
        <v>58607</v>
      </c>
    </row>
    <row r="6" spans="1:4">
      <c r="A6" s="38" t="s">
        <v>67</v>
      </c>
      <c r="B6" s="38">
        <v>2006</v>
      </c>
      <c r="C6" s="57">
        <v>33.4</v>
      </c>
      <c r="D6" s="55">
        <v>59201</v>
      </c>
    </row>
    <row r="7" spans="1:4">
      <c r="A7" s="38" t="s">
        <v>67</v>
      </c>
      <c r="B7" s="38">
        <v>2008</v>
      </c>
      <c r="C7" s="57">
        <v>30.6</v>
      </c>
      <c r="D7" s="55">
        <v>57692</v>
      </c>
    </row>
    <row r="8" spans="1:4">
      <c r="A8" s="38" t="s">
        <v>67</v>
      </c>
      <c r="B8" s="38">
        <v>2010</v>
      </c>
      <c r="C8" s="57">
        <v>27.4</v>
      </c>
      <c r="D8" s="55">
        <v>55099</v>
      </c>
    </row>
    <row r="9" spans="1:4">
      <c r="A9" s="38" t="s">
        <v>67</v>
      </c>
      <c r="B9" s="38">
        <v>2012</v>
      </c>
      <c r="C9" s="57">
        <v>24.9</v>
      </c>
      <c r="D9" s="55">
        <v>53093</v>
      </c>
    </row>
    <row r="10" spans="1:4">
      <c r="A10" s="38" t="s">
        <v>67</v>
      </c>
      <c r="B10" s="38">
        <v>2014</v>
      </c>
      <c r="C10" s="57">
        <v>22.5</v>
      </c>
      <c r="D10" s="55">
        <v>50644</v>
      </c>
    </row>
    <row r="11" spans="1:4">
      <c r="A11" s="38" t="s">
        <v>67</v>
      </c>
      <c r="B11" s="38">
        <v>2016</v>
      </c>
      <c r="C11" s="57">
        <v>20.6</v>
      </c>
      <c r="D11" s="55">
        <v>48766</v>
      </c>
    </row>
    <row r="12" spans="1:4">
      <c r="A12" s="38" t="s">
        <v>67</v>
      </c>
      <c r="B12" s="38">
        <v>2018</v>
      </c>
      <c r="C12" s="57">
        <v>20.3</v>
      </c>
      <c r="D12" s="55">
        <v>50416</v>
      </c>
    </row>
    <row r="13" spans="1:4">
      <c r="A13" s="38" t="s">
        <v>67</v>
      </c>
      <c r="B13" s="38">
        <v>2020</v>
      </c>
      <c r="C13" s="57">
        <v>20.5</v>
      </c>
      <c r="D13" s="55">
        <v>53534</v>
      </c>
    </row>
    <row r="14" spans="1:4">
      <c r="A14" s="246" t="s">
        <v>67</v>
      </c>
      <c r="B14" s="246">
        <v>2022</v>
      </c>
      <c r="C14" s="252">
        <v>20.9</v>
      </c>
      <c r="D14" s="55">
        <v>57156</v>
      </c>
    </row>
    <row r="15" spans="1:4">
      <c r="A15" s="38" t="s">
        <v>144</v>
      </c>
      <c r="B15" s="38">
        <v>2000</v>
      </c>
      <c r="C15" s="57">
        <v>0.5</v>
      </c>
      <c r="D15" s="55">
        <v>127</v>
      </c>
    </row>
    <row r="16" spans="1:4">
      <c r="A16" s="38" t="s">
        <v>144</v>
      </c>
      <c r="B16" s="38">
        <v>2002</v>
      </c>
      <c r="C16" s="57">
        <v>0.5</v>
      </c>
      <c r="D16" s="55">
        <v>129</v>
      </c>
    </row>
    <row r="17" spans="1:4">
      <c r="A17" s="38" t="s">
        <v>144</v>
      </c>
      <c r="B17" s="38">
        <v>2004</v>
      </c>
      <c r="C17" s="57">
        <v>0.5</v>
      </c>
      <c r="D17" s="55">
        <v>129</v>
      </c>
    </row>
    <row r="18" spans="1:4">
      <c r="A18" s="38" t="s">
        <v>144</v>
      </c>
      <c r="B18" s="38">
        <v>2006</v>
      </c>
      <c r="C18" s="57">
        <v>0.4</v>
      </c>
      <c r="D18" s="55">
        <v>127</v>
      </c>
    </row>
    <row r="19" spans="1:4">
      <c r="A19" s="38" t="s">
        <v>144</v>
      </c>
      <c r="B19" s="38">
        <v>2008</v>
      </c>
      <c r="C19" s="57">
        <v>0.4</v>
      </c>
      <c r="D19" s="55">
        <v>124</v>
      </c>
    </row>
    <row r="20" spans="1:4">
      <c r="A20" s="38" t="s">
        <v>144</v>
      </c>
      <c r="B20" s="38">
        <v>2010</v>
      </c>
      <c r="C20" s="57">
        <v>0.3</v>
      </c>
      <c r="D20" s="55">
        <v>126</v>
      </c>
    </row>
    <row r="21" spans="1:4">
      <c r="A21" s="38" t="s">
        <v>144</v>
      </c>
      <c r="B21" s="38">
        <v>2012</v>
      </c>
      <c r="C21" s="57">
        <v>0.3</v>
      </c>
      <c r="D21" s="55">
        <v>121</v>
      </c>
    </row>
    <row r="22" spans="1:4">
      <c r="A22" s="38" t="s">
        <v>144</v>
      </c>
      <c r="B22" s="38">
        <v>2014</v>
      </c>
      <c r="C22" s="57">
        <v>0.3</v>
      </c>
      <c r="D22" s="55">
        <v>129</v>
      </c>
    </row>
    <row r="23" spans="1:4">
      <c r="A23" s="38" t="s">
        <v>144</v>
      </c>
      <c r="B23" s="38">
        <v>2016</v>
      </c>
      <c r="C23" s="57">
        <v>0.4</v>
      </c>
      <c r="D23" s="55">
        <v>195</v>
      </c>
    </row>
    <row r="24" spans="1:4">
      <c r="A24" s="38" t="s">
        <v>144</v>
      </c>
      <c r="B24" s="38">
        <v>2018</v>
      </c>
      <c r="C24" s="57">
        <v>0.4</v>
      </c>
      <c r="D24" s="55">
        <v>186</v>
      </c>
    </row>
    <row r="25" spans="1:4">
      <c r="A25" s="38" t="s">
        <v>144</v>
      </c>
      <c r="B25" s="38">
        <v>2020</v>
      </c>
      <c r="C25" s="57">
        <v>0.4</v>
      </c>
      <c r="D25" s="55">
        <v>186</v>
      </c>
    </row>
    <row r="26" spans="1:4">
      <c r="A26" s="38" t="s">
        <v>144</v>
      </c>
      <c r="B26" s="38">
        <v>2022</v>
      </c>
      <c r="C26" s="57">
        <v>0.4</v>
      </c>
      <c r="D26" s="55">
        <v>193</v>
      </c>
    </row>
    <row r="27" spans="1:4">
      <c r="A27" s="38" t="s">
        <v>119</v>
      </c>
      <c r="B27" s="38">
        <v>2000</v>
      </c>
      <c r="C27" s="57">
        <v>32.799999999999997</v>
      </c>
      <c r="D27" s="55">
        <v>14545</v>
      </c>
    </row>
    <row r="28" spans="1:4">
      <c r="A28" s="38" t="s">
        <v>119</v>
      </c>
      <c r="B28" s="38">
        <v>2002</v>
      </c>
      <c r="C28" s="57">
        <v>32.299999999999997</v>
      </c>
      <c r="D28" s="55">
        <v>14933</v>
      </c>
    </row>
    <row r="29" spans="1:4">
      <c r="A29" s="38" t="s">
        <v>119</v>
      </c>
      <c r="B29" s="38">
        <v>2004</v>
      </c>
      <c r="C29" s="57">
        <v>30.9</v>
      </c>
      <c r="D29" s="55">
        <v>14839</v>
      </c>
    </row>
    <row r="30" spans="1:4">
      <c r="A30" s="38" t="s">
        <v>119</v>
      </c>
      <c r="B30" s="38">
        <v>2006</v>
      </c>
      <c r="C30" s="57">
        <v>29.4</v>
      </c>
      <c r="D30" s="55">
        <v>14764</v>
      </c>
    </row>
    <row r="31" spans="1:4">
      <c r="A31" s="38" t="s">
        <v>119</v>
      </c>
      <c r="B31" s="38">
        <v>2008</v>
      </c>
      <c r="C31" s="57">
        <v>27.8</v>
      </c>
      <c r="D31" s="55">
        <v>14638</v>
      </c>
    </row>
    <row r="32" spans="1:4">
      <c r="A32" s="38" t="s">
        <v>119</v>
      </c>
      <c r="B32" s="38">
        <v>2010</v>
      </c>
      <c r="C32" s="57">
        <v>24</v>
      </c>
      <c r="D32" s="55">
        <v>13251</v>
      </c>
    </row>
    <row r="33" spans="1:4">
      <c r="A33" s="38" t="s">
        <v>119</v>
      </c>
      <c r="B33" s="38">
        <v>2012</v>
      </c>
      <c r="C33" s="57">
        <v>22</v>
      </c>
      <c r="D33" s="55">
        <v>12687</v>
      </c>
    </row>
    <row r="34" spans="1:4">
      <c r="A34" s="38" t="s">
        <v>119</v>
      </c>
      <c r="B34" s="38">
        <v>2014</v>
      </c>
      <c r="C34" s="57">
        <v>18.899999999999999</v>
      </c>
      <c r="D34" s="55">
        <v>11454</v>
      </c>
    </row>
    <row r="35" spans="1:4">
      <c r="A35" s="38" t="s">
        <v>119</v>
      </c>
      <c r="B35" s="38">
        <v>2016</v>
      </c>
      <c r="C35" s="57">
        <v>15.8</v>
      </c>
      <c r="D35" s="55">
        <v>10048</v>
      </c>
    </row>
    <row r="36" spans="1:4">
      <c r="A36" s="38" t="s">
        <v>119</v>
      </c>
      <c r="B36" s="38">
        <v>2018</v>
      </c>
      <c r="C36" s="57">
        <v>13.9</v>
      </c>
      <c r="D36" s="55">
        <v>9244</v>
      </c>
    </row>
    <row r="37" spans="1:4">
      <c r="A37" s="38" t="s">
        <v>119</v>
      </c>
      <c r="B37" s="38">
        <v>2020</v>
      </c>
      <c r="C37" s="57">
        <v>12</v>
      </c>
      <c r="D37" s="55">
        <v>8312</v>
      </c>
    </row>
    <row r="38" spans="1:4">
      <c r="A38" s="38" t="s">
        <v>119</v>
      </c>
      <c r="B38" s="38">
        <v>2022</v>
      </c>
      <c r="C38" s="57">
        <v>12</v>
      </c>
      <c r="D38" s="55">
        <v>8644</v>
      </c>
    </row>
    <row r="39" spans="1:4">
      <c r="A39" s="38" t="s">
        <v>120</v>
      </c>
      <c r="B39" s="38">
        <v>2000</v>
      </c>
      <c r="C39" s="57">
        <v>42.1</v>
      </c>
      <c r="D39" s="55">
        <v>26817</v>
      </c>
    </row>
    <row r="40" spans="1:4">
      <c r="A40" s="38" t="s">
        <v>120</v>
      </c>
      <c r="B40" s="38">
        <v>2002</v>
      </c>
      <c r="C40" s="57">
        <v>39.5</v>
      </c>
      <c r="D40" s="55">
        <v>26396</v>
      </c>
    </row>
    <row r="41" spans="1:4">
      <c r="A41" s="38" t="s">
        <v>120</v>
      </c>
      <c r="B41" s="38">
        <v>2004</v>
      </c>
      <c r="C41" s="57">
        <v>37.299999999999997</v>
      </c>
      <c r="D41" s="55">
        <v>26196</v>
      </c>
    </row>
    <row r="42" spans="1:4">
      <c r="A42" s="38" t="s">
        <v>120</v>
      </c>
      <c r="B42" s="38">
        <v>2006</v>
      </c>
      <c r="C42" s="57">
        <v>35.1</v>
      </c>
      <c r="D42" s="55">
        <v>25947</v>
      </c>
    </row>
    <row r="43" spans="1:4">
      <c r="A43" s="38" t="s">
        <v>120</v>
      </c>
      <c r="B43" s="38">
        <v>2008</v>
      </c>
      <c r="C43" s="57">
        <v>31.5</v>
      </c>
      <c r="D43" s="55">
        <v>24510</v>
      </c>
    </row>
    <row r="44" spans="1:4">
      <c r="A44" s="38" t="s">
        <v>120</v>
      </c>
      <c r="B44" s="38">
        <v>2010</v>
      </c>
      <c r="C44" s="57">
        <v>28.1</v>
      </c>
      <c r="D44" s="55">
        <v>23034</v>
      </c>
    </row>
    <row r="45" spans="1:4">
      <c r="A45" s="38" t="s">
        <v>120</v>
      </c>
      <c r="B45" s="38">
        <v>2012</v>
      </c>
      <c r="C45" s="57">
        <v>24.7</v>
      </c>
      <c r="D45" s="55">
        <v>21205</v>
      </c>
    </row>
    <row r="46" spans="1:4">
      <c r="A46" s="38" t="s">
        <v>120</v>
      </c>
      <c r="B46" s="38">
        <v>2014</v>
      </c>
      <c r="C46" s="57">
        <v>22</v>
      </c>
      <c r="D46" s="55">
        <v>19741</v>
      </c>
    </row>
    <row r="47" spans="1:4">
      <c r="A47" s="38" t="s">
        <v>120</v>
      </c>
      <c r="B47" s="38">
        <v>2016</v>
      </c>
      <c r="C47" s="57">
        <v>20</v>
      </c>
      <c r="D47" s="55">
        <v>18828</v>
      </c>
    </row>
    <row r="48" spans="1:4">
      <c r="A48" s="38" t="s">
        <v>120</v>
      </c>
      <c r="B48" s="38">
        <v>2018</v>
      </c>
      <c r="C48" s="57">
        <v>20.399999999999999</v>
      </c>
      <c r="D48" s="55">
        <v>20085</v>
      </c>
    </row>
    <row r="49" spans="1:4">
      <c r="A49" s="38" t="s">
        <v>120</v>
      </c>
      <c r="B49" s="38">
        <v>2020</v>
      </c>
      <c r="C49" s="57">
        <v>22.2</v>
      </c>
      <c r="D49" s="55">
        <v>22803</v>
      </c>
    </row>
    <row r="50" spans="1:4">
      <c r="A50" s="38" t="s">
        <v>120</v>
      </c>
      <c r="B50" s="38">
        <v>2022</v>
      </c>
      <c r="C50" s="57">
        <v>22.9</v>
      </c>
      <c r="D50" s="55">
        <v>24611</v>
      </c>
    </row>
    <row r="51" spans="1:4">
      <c r="A51" s="38" t="s">
        <v>121</v>
      </c>
      <c r="B51" s="38">
        <v>2000</v>
      </c>
      <c r="C51" s="57">
        <v>70.5</v>
      </c>
      <c r="D51" s="55">
        <v>12886</v>
      </c>
    </row>
    <row r="52" spans="1:4">
      <c r="A52" s="38" t="s">
        <v>121</v>
      </c>
      <c r="B52" s="38">
        <v>2002</v>
      </c>
      <c r="C52" s="57">
        <v>82.8</v>
      </c>
      <c r="D52" s="55">
        <v>16249</v>
      </c>
    </row>
    <row r="53" spans="1:4">
      <c r="A53" s="38" t="s">
        <v>121</v>
      </c>
      <c r="B53" s="38">
        <v>2004</v>
      </c>
      <c r="C53" s="57">
        <v>81.099999999999994</v>
      </c>
      <c r="D53" s="55">
        <v>17167</v>
      </c>
    </row>
    <row r="54" spans="1:4">
      <c r="A54" s="38" t="s">
        <v>121</v>
      </c>
      <c r="B54" s="38">
        <v>2006</v>
      </c>
      <c r="C54" s="57">
        <v>79.5</v>
      </c>
      <c r="D54" s="55">
        <v>18097</v>
      </c>
    </row>
    <row r="55" spans="1:4">
      <c r="A55" s="38" t="s">
        <v>121</v>
      </c>
      <c r="B55" s="38">
        <v>2008</v>
      </c>
      <c r="C55" s="57">
        <v>75.5</v>
      </c>
      <c r="D55" s="55">
        <v>18230</v>
      </c>
    </row>
    <row r="56" spans="1:4">
      <c r="A56" s="38" t="s">
        <v>121</v>
      </c>
      <c r="B56" s="38">
        <v>2010</v>
      </c>
      <c r="C56" s="57">
        <v>71.5</v>
      </c>
      <c r="D56" s="55">
        <v>18687</v>
      </c>
    </row>
    <row r="57" spans="1:4">
      <c r="A57" s="38" t="s">
        <v>121</v>
      </c>
      <c r="B57" s="38">
        <v>2012</v>
      </c>
      <c r="C57" s="57">
        <v>67.5</v>
      </c>
      <c r="D57" s="55">
        <v>19080</v>
      </c>
    </row>
    <row r="58" spans="1:4">
      <c r="A58" s="38" t="s">
        <v>121</v>
      </c>
      <c r="B58" s="38">
        <v>2014</v>
      </c>
      <c r="C58" s="57">
        <v>63.5</v>
      </c>
      <c r="D58" s="55">
        <v>19320</v>
      </c>
    </row>
    <row r="59" spans="1:4">
      <c r="A59" s="38" t="s">
        <v>121</v>
      </c>
      <c r="B59" s="38">
        <v>2016</v>
      </c>
      <c r="C59" s="57">
        <v>60.2</v>
      </c>
      <c r="D59" s="55">
        <v>19694</v>
      </c>
    </row>
    <row r="60" spans="1:4">
      <c r="A60" s="38" t="s">
        <v>121</v>
      </c>
      <c r="B60" s="38">
        <v>2018</v>
      </c>
      <c r="C60" s="57">
        <v>59.3</v>
      </c>
      <c r="D60" s="55">
        <v>20901</v>
      </c>
    </row>
    <row r="61" spans="1:4">
      <c r="A61" s="38" t="s">
        <v>121</v>
      </c>
      <c r="B61" s="38">
        <v>2020</v>
      </c>
      <c r="C61" s="57">
        <v>58.6</v>
      </c>
      <c r="D61" s="55">
        <v>22233</v>
      </c>
    </row>
    <row r="62" spans="1:4">
      <c r="A62" s="38" t="s">
        <v>121</v>
      </c>
      <c r="B62" s="38">
        <v>2022</v>
      </c>
      <c r="C62" s="57">
        <v>58.1</v>
      </c>
      <c r="D62" s="55">
        <v>23709</v>
      </c>
    </row>
  </sheetData>
  <mergeCells count="1">
    <mergeCell ref="C1:D1"/>
  </mergeCells>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981FA-C188-4799-8914-074F33E000DF}">
  <sheetPr>
    <tabColor theme="0" tint="-0.499984740745262"/>
  </sheetPr>
  <dimension ref="A1:AB9"/>
  <sheetViews>
    <sheetView zoomScale="90" zoomScaleNormal="90" workbookViewId="0">
      <selection activeCell="A9" sqref="A9"/>
    </sheetView>
  </sheetViews>
  <sheetFormatPr defaultRowHeight="14.5"/>
  <cols>
    <col min="1" max="1" width="19.453125" style="240" customWidth="1"/>
    <col min="2" max="28" width="8.81640625" style="240"/>
  </cols>
  <sheetData>
    <row r="1" spans="1:2" ht="16">
      <c r="A1" s="310" t="s">
        <v>367</v>
      </c>
      <c r="B1" s="310" t="s">
        <v>167</v>
      </c>
    </row>
    <row r="2" spans="1:2">
      <c r="A2" s="308" t="s">
        <v>449</v>
      </c>
      <c r="B2" s="300">
        <v>0.05</v>
      </c>
    </row>
    <row r="3" spans="1:2">
      <c r="A3" s="308" t="s">
        <v>450</v>
      </c>
      <c r="B3" s="300">
        <v>0.06</v>
      </c>
    </row>
    <row r="4" spans="1:2">
      <c r="A4" s="308" t="s">
        <v>451</v>
      </c>
      <c r="B4" s="300">
        <v>0.2</v>
      </c>
    </row>
    <row r="5" spans="1:2">
      <c r="A5" s="308" t="s">
        <v>452</v>
      </c>
      <c r="B5" s="300">
        <v>0.34</v>
      </c>
    </row>
    <row r="6" spans="1:2">
      <c r="A6" s="308" t="s">
        <v>535</v>
      </c>
      <c r="B6" s="300">
        <v>0.15</v>
      </c>
    </row>
    <row r="8" spans="1:2">
      <c r="A8" s="4" t="s">
        <v>568</v>
      </c>
    </row>
    <row r="9" spans="1:2">
      <c r="A9" s="4" t="s">
        <v>298</v>
      </c>
    </row>
  </sheetData>
  <pageMargins left="0.7" right="0.7" top="0.75" bottom="0.75" header="0.3" footer="0.3"/>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9750B-E737-4293-B32A-F3B1483DA681}">
  <sheetPr>
    <tabColor theme="6" tint="0.39997558519241921"/>
  </sheetPr>
  <dimension ref="A1:D14"/>
  <sheetViews>
    <sheetView showGridLines="0" zoomScale="70" zoomScaleNormal="70" workbookViewId="0">
      <pane xSplit="1" ySplit="1" topLeftCell="B2" activePane="bottomRight" state="frozen"/>
      <selection pane="topRight" activeCell="B1" sqref="B1"/>
      <selection pane="bottomLeft" activeCell="A2" sqref="A2"/>
      <selection pane="bottomRight" activeCell="C1" sqref="C1:D1"/>
    </sheetView>
  </sheetViews>
  <sheetFormatPr defaultRowHeight="14.5"/>
  <cols>
    <col min="1" max="1" width="10.453125" customWidth="1"/>
    <col min="2" max="2" width="10.453125" style="53" bestFit="1" customWidth="1"/>
    <col min="3" max="3" width="22.54296875" style="41" customWidth="1"/>
    <col min="4" max="4" width="29.1796875" customWidth="1"/>
  </cols>
  <sheetData>
    <row r="1" spans="1:4">
      <c r="C1" s="532" t="s">
        <v>411</v>
      </c>
      <c r="D1" s="532"/>
    </row>
    <row r="2" spans="1:4">
      <c r="A2" s="35" t="s">
        <v>181</v>
      </c>
      <c r="B2" s="44" t="s">
        <v>104</v>
      </c>
      <c r="C2" s="214" t="s">
        <v>102</v>
      </c>
      <c r="D2" s="215" t="s">
        <v>112</v>
      </c>
    </row>
    <row r="3" spans="1:4">
      <c r="A3" s="35" t="s">
        <v>114</v>
      </c>
      <c r="B3" s="44">
        <v>2015</v>
      </c>
      <c r="C3" s="110">
        <v>39840200</v>
      </c>
      <c r="D3" s="213">
        <v>0.20290021586559678</v>
      </c>
    </row>
    <row r="4" spans="1:4">
      <c r="A4" s="35" t="s">
        <v>114</v>
      </c>
      <c r="B4" s="44">
        <v>2019</v>
      </c>
      <c r="C4" s="110">
        <v>44097860</v>
      </c>
      <c r="D4" s="213">
        <v>0.20449360567082259</v>
      </c>
    </row>
    <row r="5" spans="1:4">
      <c r="A5" s="35" t="s">
        <v>115</v>
      </c>
      <c r="B5" s="44">
        <v>2015</v>
      </c>
      <c r="C5" s="110">
        <v>19538570</v>
      </c>
      <c r="D5" s="213">
        <v>0.20335167656682276</v>
      </c>
    </row>
    <row r="6" spans="1:4">
      <c r="A6" s="35" t="s">
        <v>115</v>
      </c>
      <c r="B6" s="44">
        <v>2019</v>
      </c>
      <c r="C6" s="110">
        <v>21700780</v>
      </c>
      <c r="D6" s="213">
        <v>0.20554613634512323</v>
      </c>
    </row>
    <row r="7" spans="1:4">
      <c r="A7" s="35" t="s">
        <v>116</v>
      </c>
      <c r="B7" s="44">
        <v>2015</v>
      </c>
      <c r="C7" s="110">
        <v>20301630</v>
      </c>
      <c r="D7" s="213">
        <v>0.20246761276939496</v>
      </c>
    </row>
    <row r="8" spans="1:4">
      <c r="A8" s="35" t="s">
        <v>116</v>
      </c>
      <c r="B8" s="44">
        <v>2019</v>
      </c>
      <c r="C8" s="110">
        <v>22397080</v>
      </c>
      <c r="D8" s="213">
        <v>0.20348402805538396</v>
      </c>
    </row>
    <row r="14" spans="1:4">
      <c r="C14" s="41" t="s">
        <v>412</v>
      </c>
    </row>
  </sheetData>
  <mergeCells count="1">
    <mergeCell ref="C1:D1"/>
  </mergeCells>
  <pageMargins left="0.7" right="0.7" top="0.75" bottom="0.75" header="0.3" footer="0.3"/>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A352-AC74-454B-8E73-72E177661CF2}">
  <sheetPr>
    <tabColor theme="0" tint="-0.499984740745262"/>
  </sheetPr>
  <dimension ref="A1:AU10"/>
  <sheetViews>
    <sheetView zoomScale="70" zoomScaleNormal="70" workbookViewId="0"/>
  </sheetViews>
  <sheetFormatPr defaultRowHeight="14.5"/>
  <cols>
    <col min="1" max="1" width="13.54296875" style="240" customWidth="1"/>
    <col min="2" max="3" width="11.1796875" style="240" customWidth="1"/>
    <col min="4" max="47" width="8.81640625" style="240"/>
  </cols>
  <sheetData>
    <row r="1" spans="1:3" ht="18.5">
      <c r="A1" s="28" t="s">
        <v>640</v>
      </c>
      <c r="B1" s="309" t="s">
        <v>2</v>
      </c>
      <c r="C1" s="309" t="s">
        <v>3</v>
      </c>
    </row>
    <row r="2" spans="1:3">
      <c r="A2" s="306" t="s">
        <v>499</v>
      </c>
      <c r="B2" s="300">
        <v>7.0999999999999994E-2</v>
      </c>
      <c r="C2" s="300">
        <v>0.92600000000000005</v>
      </c>
    </row>
    <row r="3" spans="1:3">
      <c r="A3" s="306" t="s">
        <v>500</v>
      </c>
      <c r="B3" s="300">
        <v>6.4000000000000001E-2</v>
      </c>
      <c r="C3" s="300">
        <v>0.93600000000000005</v>
      </c>
    </row>
    <row r="4" spans="1:3">
      <c r="A4" s="306" t="s">
        <v>501</v>
      </c>
      <c r="B4" s="300">
        <v>5.1999999999999998E-2</v>
      </c>
      <c r="C4" s="300">
        <v>0.94799999999999995</v>
      </c>
    </row>
    <row r="5" spans="1:3">
      <c r="A5" s="306" t="s">
        <v>502</v>
      </c>
      <c r="B5" s="300">
        <v>4.3999999999999997E-2</v>
      </c>
      <c r="C5" s="300">
        <v>0.95599999999999996</v>
      </c>
    </row>
    <row r="6" spans="1:3">
      <c r="A6" s="306" t="s">
        <v>503</v>
      </c>
      <c r="B6" s="300">
        <v>4.1000000000000002E-2</v>
      </c>
      <c r="C6" s="300">
        <v>0.95899999999999996</v>
      </c>
    </row>
    <row r="7" spans="1:3">
      <c r="A7" s="306" t="s">
        <v>504</v>
      </c>
      <c r="B7" s="300">
        <v>0.03</v>
      </c>
      <c r="C7" s="300">
        <v>0.97</v>
      </c>
    </row>
    <row r="10" spans="1:3">
      <c r="A10" s="351" t="s">
        <v>25</v>
      </c>
      <c r="B10" s="172" t="s">
        <v>628</v>
      </c>
    </row>
  </sheetData>
  <sortState xmlns:xlrd2="http://schemas.microsoft.com/office/spreadsheetml/2017/richdata2" ref="A2:C7">
    <sortCondition descending="1" ref="B2:B7"/>
  </sortState>
  <hyperlinks>
    <hyperlink ref="B10" r:id="rId1" display="http://elibrary.arabwomenorg.org/Content/21951_Gender Equality in the Agricultural Sector in the Arab Region (Desk Review).pdf" xr:uid="{6E95647A-6567-44CF-B6ED-B9EF5CE5A6CD}"/>
  </hyperlinks>
  <pageMargins left="0.7" right="0.7" top="0.75" bottom="0.75" header="0.3" footer="0.3"/>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56CDF-AC3F-4A24-894D-E3335A3549D4}">
  <sheetPr>
    <tabColor theme="0" tint="-0.499984740745262"/>
  </sheetPr>
  <dimension ref="A5:BH37"/>
  <sheetViews>
    <sheetView zoomScale="60" zoomScaleNormal="60" zoomScaleSheetLayoutView="70" workbookViewId="0">
      <selection activeCell="N38" sqref="N38"/>
    </sheetView>
  </sheetViews>
  <sheetFormatPr defaultRowHeight="14.5"/>
  <cols>
    <col min="1" max="15" width="8.81640625" style="240"/>
    <col min="16" max="16" width="19.81640625" style="240" customWidth="1"/>
    <col min="17" max="17" width="18.453125" style="240" customWidth="1"/>
    <col min="18" max="18" width="8.81640625" style="388"/>
    <col min="19" max="60" width="8.81640625" style="240"/>
  </cols>
  <sheetData>
    <row r="5" spans="16:18">
      <c r="P5" s="240" t="s">
        <v>646</v>
      </c>
      <c r="Q5" s="240">
        <v>44382</v>
      </c>
      <c r="R5" s="388">
        <f>100000-10000</f>
        <v>90000</v>
      </c>
    </row>
    <row r="6" spans="16:18">
      <c r="P6" s="240" t="s">
        <v>647</v>
      </c>
      <c r="Q6" s="240">
        <v>43204</v>
      </c>
      <c r="R6" s="388">
        <f>R5-5000</f>
        <v>85000</v>
      </c>
    </row>
    <row r="7" spans="16:18">
      <c r="P7" s="240" t="s">
        <v>648</v>
      </c>
      <c r="Q7" s="240">
        <v>41615</v>
      </c>
      <c r="R7" s="388">
        <f t="shared" ref="R7:R18" si="0">R6-5000</f>
        <v>80000</v>
      </c>
    </row>
    <row r="8" spans="16:18">
      <c r="P8" s="240" t="s">
        <v>649</v>
      </c>
      <c r="Q8" s="240">
        <v>40738</v>
      </c>
      <c r="R8" s="388">
        <f t="shared" si="0"/>
        <v>75000</v>
      </c>
    </row>
    <row r="9" spans="16:18">
      <c r="P9" s="240" t="s">
        <v>650</v>
      </c>
      <c r="Q9" s="240">
        <v>39445</v>
      </c>
      <c r="R9" s="388">
        <f t="shared" si="0"/>
        <v>70000</v>
      </c>
    </row>
    <row r="10" spans="16:18">
      <c r="P10" s="240" t="s">
        <v>651</v>
      </c>
      <c r="Q10" s="240">
        <v>37900</v>
      </c>
      <c r="R10" s="388">
        <f t="shared" si="0"/>
        <v>65000</v>
      </c>
    </row>
    <row r="11" spans="16:18">
      <c r="P11" s="240" t="s">
        <v>652</v>
      </c>
      <c r="Q11" s="240">
        <v>36284</v>
      </c>
      <c r="R11" s="388">
        <f t="shared" si="0"/>
        <v>60000</v>
      </c>
    </row>
    <row r="12" spans="16:18">
      <c r="P12" s="240" t="s">
        <v>653</v>
      </c>
      <c r="Q12" s="240">
        <v>34535</v>
      </c>
      <c r="R12" s="388">
        <f t="shared" si="0"/>
        <v>55000</v>
      </c>
    </row>
    <row r="13" spans="16:18">
      <c r="P13" s="240" t="s">
        <v>654</v>
      </c>
      <c r="Q13" s="240">
        <v>32782</v>
      </c>
      <c r="R13" s="388">
        <f t="shared" si="0"/>
        <v>50000</v>
      </c>
    </row>
    <row r="14" spans="16:18">
      <c r="P14" s="240" t="s">
        <v>655</v>
      </c>
      <c r="Q14" s="240">
        <v>30035</v>
      </c>
      <c r="R14" s="388">
        <f t="shared" si="0"/>
        <v>45000</v>
      </c>
    </row>
    <row r="15" spans="16:18">
      <c r="P15" s="240" t="s">
        <v>656</v>
      </c>
      <c r="Q15" s="240">
        <v>27131</v>
      </c>
      <c r="R15" s="388">
        <f t="shared" si="0"/>
        <v>40000</v>
      </c>
    </row>
    <row r="16" spans="16:18">
      <c r="P16" s="240" t="s">
        <v>659</v>
      </c>
      <c r="Q16" s="240">
        <v>22185</v>
      </c>
      <c r="R16" s="388">
        <f t="shared" si="0"/>
        <v>35000</v>
      </c>
    </row>
    <row r="17" spans="16:18">
      <c r="P17" s="240" t="s">
        <v>658</v>
      </c>
      <c r="Q17" s="240">
        <v>15207</v>
      </c>
      <c r="R17" s="388">
        <f t="shared" si="0"/>
        <v>30000</v>
      </c>
    </row>
    <row r="18" spans="16:18">
      <c r="P18" s="240" t="s">
        <v>657</v>
      </c>
      <c r="Q18" s="240">
        <v>8005</v>
      </c>
      <c r="R18" s="388">
        <f t="shared" si="0"/>
        <v>25000</v>
      </c>
    </row>
    <row r="19" spans="16:18">
      <c r="P19" s="240" t="s">
        <v>675</v>
      </c>
      <c r="Q19" s="240">
        <v>0</v>
      </c>
    </row>
    <row r="27" spans="16:18">
      <c r="R27" s="388" t="s">
        <v>660</v>
      </c>
    </row>
    <row r="37" spans="2:2">
      <c r="B37" s="390" t="s">
        <v>660</v>
      </c>
    </row>
  </sheetData>
  <phoneticPr fontId="57" type="noConversion"/>
  <hyperlinks>
    <hyperlink ref="B37" r:id="rId1" xr:uid="{AF21724F-4B74-4ED7-A87B-AED0B93A0D8D}"/>
  </hyperlinks>
  <pageMargins left="0.7" right="0.7" top="0.75" bottom="0.75" header="0.3" footer="0.3"/>
  <pageSetup orientation="portrait" r:id="rId2"/>
  <drawing r:id="rId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99994-D4C3-461F-85A1-AA9BD5CB7A79}">
  <sheetPr codeName="Sheet55">
    <tabColor theme="6" tint="0.39997558519241921"/>
  </sheetPr>
  <dimension ref="A1:C15"/>
  <sheetViews>
    <sheetView showGridLines="0" zoomScale="70" zoomScaleNormal="70" workbookViewId="0">
      <pane xSplit="1" ySplit="1" topLeftCell="B2" activePane="bottomRight" state="frozen"/>
      <selection pane="topRight"/>
      <selection pane="bottomLeft"/>
      <selection pane="bottomRight" activeCell="C1" sqref="C1"/>
    </sheetView>
  </sheetViews>
  <sheetFormatPr defaultRowHeight="14.5"/>
  <cols>
    <col min="1" max="1" width="12.453125" bestFit="1" customWidth="1"/>
    <col min="2" max="2" width="19.1796875" bestFit="1" customWidth="1"/>
    <col min="3" max="3" width="39.453125" customWidth="1"/>
  </cols>
  <sheetData>
    <row r="1" spans="1:3" ht="38.5" customHeight="1">
      <c r="A1" s="196" t="s">
        <v>104</v>
      </c>
      <c r="B1" s="197" t="s">
        <v>4</v>
      </c>
      <c r="C1" s="198" t="s">
        <v>429</v>
      </c>
    </row>
    <row r="2" spans="1:3">
      <c r="A2" s="35">
        <v>2021</v>
      </c>
      <c r="B2" s="35" t="s">
        <v>40</v>
      </c>
      <c r="C2" s="199">
        <v>0.7</v>
      </c>
    </row>
    <row r="3" spans="1:3">
      <c r="A3" s="35">
        <v>2021</v>
      </c>
      <c r="B3" s="35" t="s">
        <v>33</v>
      </c>
      <c r="C3" s="199">
        <v>0.45</v>
      </c>
    </row>
    <row r="4" spans="1:3">
      <c r="A4" s="35">
        <v>2021</v>
      </c>
      <c r="B4" s="35" t="s">
        <v>32</v>
      </c>
      <c r="C4" s="199">
        <v>0.11</v>
      </c>
    </row>
    <row r="5" spans="1:3">
      <c r="A5" s="35">
        <v>2021</v>
      </c>
      <c r="B5" s="35" t="s">
        <v>43</v>
      </c>
      <c r="C5" s="199">
        <v>0.2</v>
      </c>
    </row>
    <row r="6" spans="1:3">
      <c r="A6" s="35">
        <v>2019</v>
      </c>
      <c r="B6" s="35" t="s">
        <v>46</v>
      </c>
      <c r="C6" s="199">
        <v>0.26</v>
      </c>
    </row>
    <row r="7" spans="1:3">
      <c r="A7" s="35">
        <v>2019</v>
      </c>
      <c r="B7" s="35" t="s">
        <v>36</v>
      </c>
      <c r="C7" s="199">
        <v>0.47</v>
      </c>
    </row>
    <row r="8" spans="1:3">
      <c r="A8" s="35">
        <v>2021</v>
      </c>
      <c r="B8" s="35" t="s">
        <v>49</v>
      </c>
      <c r="C8" s="199">
        <v>0.52</v>
      </c>
    </row>
    <row r="9" spans="1:3">
      <c r="A9" s="35">
        <v>2020</v>
      </c>
      <c r="B9" s="35" t="s">
        <v>51</v>
      </c>
      <c r="C9" s="199">
        <v>0.91</v>
      </c>
    </row>
    <row r="10" spans="1:3">
      <c r="A10" s="35">
        <v>2021</v>
      </c>
      <c r="B10" s="35" t="s">
        <v>51</v>
      </c>
      <c r="C10" s="199">
        <v>0.94</v>
      </c>
    </row>
    <row r="11" spans="1:3">
      <c r="A11" s="35">
        <v>2021</v>
      </c>
      <c r="B11" s="35" t="s">
        <v>31</v>
      </c>
      <c r="C11" s="199">
        <v>0.45</v>
      </c>
    </row>
    <row r="12" spans="1:3">
      <c r="A12" s="35">
        <v>2019</v>
      </c>
      <c r="B12" s="35" t="s">
        <v>52</v>
      </c>
      <c r="C12" s="199">
        <v>0.28000000000000003</v>
      </c>
    </row>
    <row r="13" spans="1:3">
      <c r="A13" s="43">
        <v>2022</v>
      </c>
      <c r="B13" s="43" t="s">
        <v>67</v>
      </c>
      <c r="C13" s="200">
        <v>0.44</v>
      </c>
    </row>
    <row r="15" spans="1:3">
      <c r="A15" t="s">
        <v>430</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FA11-B156-4616-B5F4-D52C30FD047C}">
  <sheetPr codeName="Sheet54">
    <tabColor theme="0" tint="-0.499984740745262"/>
  </sheetPr>
  <dimension ref="A1:G21"/>
  <sheetViews>
    <sheetView showGridLines="0" zoomScale="70" zoomScaleNormal="70" workbookViewId="0"/>
  </sheetViews>
  <sheetFormatPr defaultRowHeight="14.5"/>
  <cols>
    <col min="1" max="1" width="17.54296875" customWidth="1"/>
    <col min="2" max="4" width="12.1796875" customWidth="1"/>
  </cols>
  <sheetData>
    <row r="1" spans="1:7" ht="32">
      <c r="A1" s="28" t="s">
        <v>640</v>
      </c>
      <c r="B1" s="28" t="s">
        <v>2</v>
      </c>
      <c r="C1" s="28" t="s">
        <v>3</v>
      </c>
      <c r="D1" s="28" t="s">
        <v>413</v>
      </c>
      <c r="E1" s="194"/>
      <c r="F1" s="194"/>
      <c r="G1" s="194"/>
    </row>
    <row r="2" spans="1:7">
      <c r="A2" s="306" t="s">
        <v>414</v>
      </c>
      <c r="B2" s="35">
        <v>78</v>
      </c>
      <c r="C2" s="35">
        <v>218</v>
      </c>
      <c r="D2" s="195">
        <f t="shared" ref="D2:D18" si="0">C2-B2</f>
        <v>140</v>
      </c>
      <c r="E2" s="194"/>
      <c r="F2" s="194"/>
      <c r="G2" s="194"/>
    </row>
    <row r="3" spans="1:7">
      <c r="A3" s="306" t="s">
        <v>415</v>
      </c>
      <c r="B3" s="35">
        <v>148</v>
      </c>
      <c r="C3" s="35">
        <v>273</v>
      </c>
      <c r="D3" s="195">
        <f t="shared" si="0"/>
        <v>125</v>
      </c>
      <c r="E3" s="194"/>
      <c r="F3" s="194"/>
      <c r="G3" s="194"/>
    </row>
    <row r="4" spans="1:7">
      <c r="A4" s="306" t="s">
        <v>416</v>
      </c>
      <c r="B4" s="35">
        <v>5</v>
      </c>
      <c r="C4" s="35">
        <v>43</v>
      </c>
      <c r="D4" s="195">
        <f t="shared" si="0"/>
        <v>38</v>
      </c>
      <c r="E4" s="194"/>
      <c r="F4" s="194"/>
      <c r="G4" s="194"/>
    </row>
    <row r="5" spans="1:7">
      <c r="A5" s="306" t="s">
        <v>417</v>
      </c>
      <c r="B5" s="35">
        <v>5</v>
      </c>
      <c r="C5" s="35">
        <v>5</v>
      </c>
      <c r="D5" s="195">
        <f t="shared" si="0"/>
        <v>0</v>
      </c>
      <c r="E5" s="194"/>
      <c r="F5" s="194"/>
      <c r="G5" s="194"/>
    </row>
    <row r="6" spans="1:7">
      <c r="A6" s="306" t="s">
        <v>418</v>
      </c>
      <c r="B6" s="35">
        <v>5</v>
      </c>
      <c r="C6" s="35">
        <v>5</v>
      </c>
      <c r="D6" s="195">
        <f t="shared" si="0"/>
        <v>0</v>
      </c>
      <c r="E6" s="194"/>
      <c r="F6" s="194"/>
      <c r="G6" s="194"/>
    </row>
    <row r="7" spans="1:7">
      <c r="A7" s="306" t="s">
        <v>74</v>
      </c>
      <c r="B7" s="35">
        <v>5</v>
      </c>
      <c r="C7" s="35">
        <v>5</v>
      </c>
      <c r="D7" s="195">
        <f t="shared" si="0"/>
        <v>0</v>
      </c>
      <c r="E7" s="194"/>
      <c r="F7" s="194"/>
      <c r="G7" s="194"/>
    </row>
    <row r="8" spans="1:7">
      <c r="A8" s="306" t="s">
        <v>419</v>
      </c>
      <c r="B8" s="35">
        <v>5</v>
      </c>
      <c r="C8" s="35">
        <v>5</v>
      </c>
      <c r="D8" s="195">
        <f t="shared" si="0"/>
        <v>0</v>
      </c>
      <c r="E8" s="194"/>
      <c r="F8" s="194"/>
      <c r="G8" s="194"/>
    </row>
    <row r="9" spans="1:7">
      <c r="A9" s="306" t="s">
        <v>420</v>
      </c>
      <c r="B9" s="35">
        <v>54</v>
      </c>
      <c r="C9" s="35">
        <v>53</v>
      </c>
      <c r="D9" s="195">
        <f t="shared" si="0"/>
        <v>-1</v>
      </c>
      <c r="E9" s="194"/>
      <c r="F9" s="194"/>
      <c r="G9" s="194"/>
    </row>
    <row r="10" spans="1:7">
      <c r="A10" s="306" t="s">
        <v>421</v>
      </c>
      <c r="B10" s="35">
        <v>6</v>
      </c>
      <c r="C10" s="35">
        <v>5</v>
      </c>
      <c r="D10" s="195">
        <f t="shared" si="0"/>
        <v>-1</v>
      </c>
      <c r="E10" s="194"/>
      <c r="F10" s="194"/>
      <c r="G10" s="194"/>
    </row>
    <row r="11" spans="1:7">
      <c r="A11" s="306" t="s">
        <v>83</v>
      </c>
      <c r="B11" s="35">
        <v>17</v>
      </c>
      <c r="C11" s="35">
        <v>10</v>
      </c>
      <c r="D11" s="195">
        <f t="shared" si="0"/>
        <v>-7</v>
      </c>
      <c r="E11" s="194"/>
      <c r="F11" s="194"/>
      <c r="G11" s="194"/>
    </row>
    <row r="12" spans="1:7">
      <c r="A12" s="306" t="s">
        <v>422</v>
      </c>
      <c r="B12" s="35">
        <v>13</v>
      </c>
      <c r="C12" s="35">
        <v>5</v>
      </c>
      <c r="D12" s="195">
        <f t="shared" si="0"/>
        <v>-8</v>
      </c>
      <c r="E12" s="194"/>
      <c r="F12" s="194"/>
      <c r="G12" s="194"/>
    </row>
    <row r="13" spans="1:7">
      <c r="A13" s="306" t="s">
        <v>423</v>
      </c>
      <c r="B13" s="35">
        <v>23</v>
      </c>
      <c r="C13" s="35">
        <v>5</v>
      </c>
      <c r="D13" s="195">
        <f t="shared" si="0"/>
        <v>-18</v>
      </c>
      <c r="E13" s="194"/>
      <c r="F13" s="194"/>
      <c r="G13" s="194"/>
    </row>
    <row r="14" spans="1:7">
      <c r="A14" s="306" t="s">
        <v>424</v>
      </c>
      <c r="B14" s="35">
        <v>108</v>
      </c>
      <c r="C14" s="35">
        <v>73</v>
      </c>
      <c r="D14" s="195">
        <f t="shared" si="0"/>
        <v>-35</v>
      </c>
      <c r="E14" s="194"/>
      <c r="F14" s="194"/>
      <c r="G14" s="194"/>
    </row>
    <row r="15" spans="1:7">
      <c r="A15" s="306" t="s">
        <v>425</v>
      </c>
      <c r="B15" s="35">
        <v>100</v>
      </c>
      <c r="C15" s="35">
        <v>65</v>
      </c>
      <c r="D15" s="195">
        <f t="shared" si="0"/>
        <v>-35</v>
      </c>
      <c r="E15" s="194"/>
      <c r="F15" s="194"/>
      <c r="G15" s="194"/>
    </row>
    <row r="16" spans="1:7">
      <c r="A16" s="306" t="s">
        <v>426</v>
      </c>
      <c r="B16" s="35">
        <v>49</v>
      </c>
      <c r="C16" s="35">
        <v>12</v>
      </c>
      <c r="D16" s="195">
        <f t="shared" si="0"/>
        <v>-37</v>
      </c>
      <c r="E16" s="194"/>
      <c r="F16" s="194"/>
      <c r="G16" s="194"/>
    </row>
    <row r="17" spans="1:7">
      <c r="A17" s="306" t="s">
        <v>427</v>
      </c>
      <c r="B17" s="35">
        <v>70</v>
      </c>
      <c r="C17" s="35">
        <v>13</v>
      </c>
      <c r="D17" s="195">
        <f t="shared" si="0"/>
        <v>-57</v>
      </c>
      <c r="E17" s="194"/>
      <c r="F17" s="194"/>
      <c r="G17" s="194"/>
    </row>
    <row r="18" spans="1:7">
      <c r="A18" s="306" t="s">
        <v>428</v>
      </c>
      <c r="B18" s="35">
        <v>146</v>
      </c>
      <c r="C18" s="35">
        <v>27</v>
      </c>
      <c r="D18" s="195">
        <f t="shared" si="0"/>
        <v>-119</v>
      </c>
      <c r="E18" s="194"/>
      <c r="F18" s="194"/>
      <c r="G18" s="194"/>
    </row>
    <row r="19" spans="1:7">
      <c r="A19" s="194"/>
      <c r="B19" s="194"/>
      <c r="C19" s="194"/>
      <c r="D19" s="194"/>
      <c r="E19" s="194"/>
      <c r="F19" s="194"/>
      <c r="G19" s="194"/>
    </row>
    <row r="20" spans="1:7">
      <c r="A20" s="194"/>
      <c r="B20" s="194"/>
      <c r="C20" s="194"/>
      <c r="D20" s="194"/>
      <c r="E20" s="194"/>
      <c r="F20" s="194"/>
      <c r="G20" s="194"/>
    </row>
    <row r="21" spans="1:7">
      <c r="A21" s="351" t="s">
        <v>25</v>
      </c>
      <c r="B21" s="172" t="s">
        <v>629</v>
      </c>
    </row>
  </sheetData>
  <hyperlinks>
    <hyperlink ref="B21" r:id="rId1" display="https://dataunodc.un.org/dp-trafficking-persons" xr:uid="{7DADDAFD-826F-4DF6-AD0B-05C3226F1F23}"/>
  </hyperlinks>
  <pageMargins left="0.7" right="0.7" top="0.75" bottom="0.75" header="0.3" footer="0.3"/>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4D9F5-FA61-435B-8C66-2A5DE7EFC204}">
  <sheetPr>
    <tabColor theme="0" tint="-0.499984740745262"/>
  </sheetPr>
  <dimension ref="A1:AG11"/>
  <sheetViews>
    <sheetView zoomScale="70" zoomScaleNormal="70" workbookViewId="0">
      <selection activeCell="J23" sqref="J23"/>
    </sheetView>
  </sheetViews>
  <sheetFormatPr defaultRowHeight="14.5"/>
  <cols>
    <col min="1" max="1" width="14.1796875" style="240" customWidth="1"/>
    <col min="2" max="33" width="8.81640625" style="240"/>
  </cols>
  <sheetData>
    <row r="1" spans="1:2" ht="18.5">
      <c r="A1" s="309" t="s">
        <v>462</v>
      </c>
      <c r="B1" s="309" t="s">
        <v>470</v>
      </c>
    </row>
    <row r="2" spans="1:2">
      <c r="A2" s="306" t="s">
        <v>121</v>
      </c>
      <c r="B2" s="275">
        <v>0.170630226135254</v>
      </c>
    </row>
    <row r="3" spans="1:2">
      <c r="A3" s="306" t="s">
        <v>67</v>
      </c>
      <c r="B3" s="275">
        <v>6.8252038955688502E-2</v>
      </c>
    </row>
    <row r="4" spans="1:2">
      <c r="A4" s="306" t="s">
        <v>110</v>
      </c>
      <c r="B4" s="275">
        <v>5.6000000000000001E-2</v>
      </c>
    </row>
    <row r="5" spans="1:2">
      <c r="A5" s="306" t="s">
        <v>120</v>
      </c>
      <c r="B5" s="275">
        <v>4.8935055732727099E-2</v>
      </c>
    </row>
    <row r="6" spans="1:2">
      <c r="A6" s="306" t="s">
        <v>119</v>
      </c>
      <c r="B6" s="275">
        <v>3.6280441284179697E-2</v>
      </c>
    </row>
    <row r="7" spans="1:2">
      <c r="A7" s="306" t="s">
        <v>144</v>
      </c>
      <c r="B7" s="275">
        <v>6.5295469760894799E-3</v>
      </c>
    </row>
    <row r="11" spans="1:2">
      <c r="A11" s="351" t="s">
        <v>25</v>
      </c>
      <c r="B11" s="360" t="s">
        <v>630</v>
      </c>
    </row>
  </sheetData>
  <pageMargins left="0.7" right="0.7" top="0.75" bottom="0.75" header="0.3" footer="0.3"/>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80893-E03E-4CD1-928D-5E9C063E814C}">
  <sheetPr>
    <tabColor theme="0" tint="-0.499984740745262"/>
  </sheetPr>
  <dimension ref="A1:AP13"/>
  <sheetViews>
    <sheetView zoomScale="70" zoomScaleNormal="70" workbookViewId="0">
      <selection activeCell="B13" sqref="B13"/>
    </sheetView>
  </sheetViews>
  <sheetFormatPr defaultRowHeight="14.5"/>
  <cols>
    <col min="1" max="1" width="23.81640625" style="240" customWidth="1"/>
    <col min="2" max="42" width="8.81640625" style="240"/>
  </cols>
  <sheetData>
    <row r="1" spans="1:2">
      <c r="A1" s="306" t="s">
        <v>475</v>
      </c>
      <c r="B1" s="289">
        <v>1.1200000000000001</v>
      </c>
    </row>
    <row r="2" spans="1:2">
      <c r="A2" s="306" t="s">
        <v>108</v>
      </c>
      <c r="B2" s="289">
        <v>0.9</v>
      </c>
    </row>
    <row r="3" spans="1:2">
      <c r="A3" s="306" t="s">
        <v>474</v>
      </c>
      <c r="B3" s="289">
        <v>0.8</v>
      </c>
    </row>
    <row r="4" spans="1:2">
      <c r="A4" s="306" t="s">
        <v>110</v>
      </c>
      <c r="B4" s="289">
        <v>0.8</v>
      </c>
    </row>
    <row r="5" spans="1:2">
      <c r="A5" s="306" t="s">
        <v>477</v>
      </c>
      <c r="B5" s="289">
        <v>0.77</v>
      </c>
    </row>
    <row r="6" spans="1:2">
      <c r="A6" s="306" t="s">
        <v>65</v>
      </c>
      <c r="B6" s="289">
        <v>0.62</v>
      </c>
    </row>
    <row r="7" spans="1:2">
      <c r="A7" s="306" t="s">
        <v>473</v>
      </c>
      <c r="B7" s="289">
        <v>0.55000000000000004</v>
      </c>
    </row>
    <row r="8" spans="1:2">
      <c r="A8" s="306" t="s">
        <v>476</v>
      </c>
      <c r="B8" s="289">
        <v>0.5</v>
      </c>
    </row>
    <row r="9" spans="1:2">
      <c r="A9" s="306" t="s">
        <v>67</v>
      </c>
      <c r="B9" s="289">
        <v>0.43831999999999899</v>
      </c>
    </row>
    <row r="13" spans="1:2">
      <c r="A13" s="351" t="s">
        <v>25</v>
      </c>
      <c r="B13" s="366" t="s">
        <v>631</v>
      </c>
    </row>
  </sheetData>
  <sortState xmlns:xlrd2="http://schemas.microsoft.com/office/spreadsheetml/2017/richdata2" ref="A1:B9">
    <sortCondition descending="1" ref="B1:B9"/>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56561F2D0DC34F9B8E26B0B38F4E5C" ma:contentTypeVersion="17" ma:contentTypeDescription="Create a new document." ma:contentTypeScope="" ma:versionID="1097abaad3a6df80b507f45e26ba7658">
  <xsd:schema xmlns:xsd="http://www.w3.org/2001/XMLSchema" xmlns:xs="http://www.w3.org/2001/XMLSchema" xmlns:p="http://schemas.microsoft.com/office/2006/metadata/properties" xmlns:ns3="c50dfcbb-4687-47bc-b008-e865a27960d4" xmlns:ns4="dcf10987-fc6d-4ee2-a25c-595ef712a6cb" targetNamespace="http://schemas.microsoft.com/office/2006/metadata/properties" ma:root="true" ma:fieldsID="a138775d061c8c522168d8b673b5817b" ns3:_="" ns4:_="">
    <xsd:import namespace="c50dfcbb-4687-47bc-b008-e865a27960d4"/>
    <xsd:import namespace="dcf10987-fc6d-4ee2-a25c-595ef712a6cb"/>
    <xsd:element name="properties">
      <xsd:complexType>
        <xsd:sequence>
          <xsd:element name="documentManagement">
            <xsd:complexType>
              <xsd:all>
                <xsd:element ref="ns3:MediaServiceMetadata" minOccurs="0"/>
                <xsd:element ref="ns3:MediaServiceFastMetadata" minOccurs="0"/>
                <xsd:element ref="ns4:SharingHintHash" minOccurs="0"/>
                <xsd:element ref="ns4:SharedWithUsers" minOccurs="0"/>
                <xsd:element ref="ns4:SharedWithDetails" minOccurs="0"/>
                <xsd:element ref="ns3:MediaServiceDateTaken" minOccurs="0"/>
                <xsd:element ref="ns3:MediaLengthInSeconds" minOccurs="0"/>
                <xsd:element ref="ns3:MediaServiceAutoTags" minOccurs="0"/>
                <xsd:element ref="ns3:MediaServiceAutoKeyPoints" minOccurs="0"/>
                <xsd:element ref="ns3:MediaServiceKeyPoints" minOccurs="0"/>
                <xsd:element ref="ns3:MediaServiceGenerationTime" minOccurs="0"/>
                <xsd:element ref="ns3:MediaServiceEventHashCode" minOccurs="0"/>
                <xsd:element ref="ns3:MediaServiceOCR"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dfcbb-4687-47bc-b008-e865a27960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f10987-fc6d-4ee2-a25c-595ef712a6cb" elementFormDefault="qualified">
    <xsd:import namespace="http://schemas.microsoft.com/office/2006/documentManagement/types"/>
    <xsd:import namespace="http://schemas.microsoft.com/office/infopath/2007/PartnerControls"/>
    <xsd:element name="SharingHintHash" ma:index="10" nillable="true" ma:displayName="Sharing Hint Hash" ma:hidden="true" ma:internalName="SharingHintHash" ma:readOnly="true">
      <xsd:simpleType>
        <xsd:restriction base="dms:Text"/>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50dfcbb-4687-47bc-b008-e865a27960d4" xsi:nil="true"/>
  </documentManagement>
</p:properties>
</file>

<file path=customXml/itemProps1.xml><?xml version="1.0" encoding="utf-8"?>
<ds:datastoreItem xmlns:ds="http://schemas.openxmlformats.org/officeDocument/2006/customXml" ds:itemID="{8D5076A4-06A8-4F1A-9A06-6C20B27E7624}">
  <ds:schemaRefs>
    <ds:schemaRef ds:uri="http://schemas.microsoft.com/sharepoint/v3/contenttype/forms"/>
  </ds:schemaRefs>
</ds:datastoreItem>
</file>

<file path=customXml/itemProps2.xml><?xml version="1.0" encoding="utf-8"?>
<ds:datastoreItem xmlns:ds="http://schemas.openxmlformats.org/officeDocument/2006/customXml" ds:itemID="{93B257B3-1F3A-4B1B-A13C-29437AB7F4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dfcbb-4687-47bc-b008-e865a27960d4"/>
    <ds:schemaRef ds:uri="dcf10987-fc6d-4ee2-a25c-595ef712a6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4FC448-AEC3-4E4A-A42E-96E08DFE46CC}">
  <ds:schemaRefs>
    <ds:schemaRef ds:uri="http://schemas.microsoft.com/office/2006/metadata/properties"/>
    <ds:schemaRef ds:uri="http://schemas.microsoft.com/office/infopath/2007/PartnerControls"/>
    <ds:schemaRef ds:uri="c50dfcbb-4687-47bc-b008-e865a27960d4"/>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119</vt:i4>
      </vt:variant>
    </vt:vector>
  </HeadingPairs>
  <TitlesOfParts>
    <vt:vector size="119" baseType="lpstr">
      <vt:lpstr>Content</vt:lpstr>
      <vt:lpstr>Section I_Fig1</vt:lpstr>
      <vt:lpstr>Section I_Fig2</vt:lpstr>
      <vt:lpstr>Section I_Fig3</vt:lpstr>
      <vt:lpstr>Section I_Fig4</vt:lpstr>
      <vt:lpstr>Section I_Fig5</vt:lpstr>
      <vt:lpstr>Section I_Fig6</vt:lpstr>
      <vt:lpstr>Section I_Fig7</vt:lpstr>
      <vt:lpstr>Section I_Fig8</vt:lpstr>
      <vt:lpstr>Maternity &amp; Paternity leave</vt:lpstr>
      <vt:lpstr>ILO Conventions</vt:lpstr>
      <vt:lpstr>G1_National Poverty</vt:lpstr>
      <vt:lpstr>G1_Extreme Poverty</vt:lpstr>
      <vt:lpstr>G1_Social Protection Benefits</vt:lpstr>
      <vt:lpstr>G1_Adult &amp; Youth Illiteracy</vt:lpstr>
      <vt:lpstr>G1_Vulnerable Employment</vt:lpstr>
      <vt:lpstr>G1_Fig9</vt:lpstr>
      <vt:lpstr>G1_Fig10</vt:lpstr>
      <vt:lpstr>G1_Fig11</vt:lpstr>
      <vt:lpstr>G2_2.1.1</vt:lpstr>
      <vt:lpstr>G2_2.1.2</vt:lpstr>
      <vt:lpstr>G2_2.2.3</vt:lpstr>
      <vt:lpstr>G2_Healthy diet</vt:lpstr>
      <vt:lpstr>G2_Exclusive Breast Feeding</vt:lpstr>
      <vt:lpstr>G2_Fig12</vt:lpstr>
      <vt:lpstr>G2_Fig13</vt:lpstr>
      <vt:lpstr>G3_3.1.1</vt:lpstr>
      <vt:lpstr>G3_3.1.2</vt:lpstr>
      <vt:lpstr>G3_3.7.1</vt:lpstr>
      <vt:lpstr>G3_3.7.2</vt:lpstr>
      <vt:lpstr>G3_3.9.1</vt:lpstr>
      <vt:lpstr>G3_3.9.2_Wash Deaths</vt:lpstr>
      <vt:lpstr>G3_UNICEF Data_NJ</vt:lpstr>
      <vt:lpstr>G2_Fig14</vt:lpstr>
      <vt:lpstr>G2_Fig15</vt:lpstr>
      <vt:lpstr>G4_4.1.1 Minimum Proficiency</vt:lpstr>
      <vt:lpstr>G4_4.1.2 Completion Rate</vt:lpstr>
      <vt:lpstr>G4_4.2.1 Children Development</vt:lpstr>
      <vt:lpstr>G4_4.6.1 Out of School</vt:lpstr>
      <vt:lpstr>G4_4.6.1 Out of School (2)</vt:lpstr>
      <vt:lpstr>G4_Fig16</vt:lpstr>
      <vt:lpstr>G4_Fig17</vt:lpstr>
      <vt:lpstr>G5_5.1.1</vt:lpstr>
      <vt:lpstr>G5_5.1.1 (regional)</vt:lpstr>
      <vt:lpstr>G5_5.2.1_VAW</vt:lpstr>
      <vt:lpstr>G5_5.3.1 Married Before 18</vt:lpstr>
      <vt:lpstr>G5_5.3.2</vt:lpstr>
      <vt:lpstr>G5_5.5.1a Women in Parliaments</vt:lpstr>
      <vt:lpstr>G5_5.5.1b Women in Local Gov.</vt:lpstr>
      <vt:lpstr>G5_5.5.2</vt:lpstr>
      <vt:lpstr>G5_5.b.1</vt:lpstr>
      <vt:lpstr>G5_Fig18</vt:lpstr>
      <vt:lpstr>G5_Fig19</vt:lpstr>
      <vt:lpstr>G5_Fig20</vt:lpstr>
      <vt:lpstr>G5_Fig21</vt:lpstr>
      <vt:lpstr>G6_Safe &amp; Basic Serv. (summary)</vt:lpstr>
      <vt:lpstr>G6_Safely and Basic Services</vt:lpstr>
      <vt:lpstr>G6_Handwashing</vt:lpstr>
      <vt:lpstr>G6_Collecting Water Forecast</vt:lpstr>
      <vt:lpstr>G6_Fig22</vt:lpstr>
      <vt:lpstr>G6_Fig23</vt:lpstr>
      <vt:lpstr>G7_7.1.1</vt:lpstr>
      <vt:lpstr>G7_7.1.2</vt:lpstr>
      <vt:lpstr>G7_7.1.2 (continued)</vt:lpstr>
      <vt:lpstr>G7_Fig24</vt:lpstr>
      <vt:lpstr>G7_Fig25</vt:lpstr>
      <vt:lpstr>G8_Employment by status</vt:lpstr>
      <vt:lpstr>G8_8.3.1</vt:lpstr>
      <vt:lpstr>G8_8.5.2</vt:lpstr>
      <vt:lpstr>G8_8.6.1</vt:lpstr>
      <vt:lpstr>G8_8.10.2</vt:lpstr>
      <vt:lpstr>G8_Prime Age with 6yrs child</vt:lpstr>
      <vt:lpstr>G8_LF</vt:lpstr>
      <vt:lpstr>G8_Fig26&amp;27</vt:lpstr>
      <vt:lpstr>G8_Fig28</vt:lpstr>
      <vt:lpstr>G8_Fig29</vt:lpstr>
      <vt:lpstr>G8_Fig30</vt:lpstr>
      <vt:lpstr>G9_Employment by Sector</vt:lpstr>
      <vt:lpstr>G9_Inventors</vt:lpstr>
      <vt:lpstr>G9_Female Researchers</vt:lpstr>
      <vt:lpstr>G9_9.2.2</vt:lpstr>
      <vt:lpstr>G9_9.c.1_Covered by Mobile ntwk</vt:lpstr>
      <vt:lpstr>G9_COPA&amp;Email</vt:lpstr>
      <vt:lpstr>G9_Fig31</vt:lpstr>
      <vt:lpstr>G9_Fig32</vt:lpstr>
      <vt:lpstr>G10_10.3.1 Discrimination</vt:lpstr>
      <vt:lpstr>G10_Refugees &amp; IDP</vt:lpstr>
      <vt:lpstr>G10_Gender Income Gap</vt:lpstr>
      <vt:lpstr>G10_Fig33</vt:lpstr>
      <vt:lpstr>G10_Fig34</vt:lpstr>
      <vt:lpstr>G11_11.1.1</vt:lpstr>
      <vt:lpstr>G11_Fig35</vt:lpstr>
      <vt:lpstr>G15_15.3.1_land degradation</vt:lpstr>
      <vt:lpstr>Fig36</vt:lpstr>
      <vt:lpstr>Fig37</vt:lpstr>
      <vt:lpstr>G16_16.7.1b</vt:lpstr>
      <vt:lpstr>G16_Fig38</vt:lpstr>
      <vt:lpstr>G16_Fig39</vt:lpstr>
      <vt:lpstr>G16_Fig40</vt:lpstr>
      <vt:lpstr>G17_17.6.1</vt:lpstr>
      <vt:lpstr>G17_17.8.1</vt:lpstr>
      <vt:lpstr>G17_Fig41</vt:lpstr>
      <vt:lpstr>G17_Fig42</vt:lpstr>
      <vt:lpstr>G17_Fig43</vt:lpstr>
      <vt:lpstr>G17_Fig44</vt:lpstr>
      <vt:lpstr>G17_Fig45</vt:lpstr>
      <vt:lpstr>G17_ODGI</vt:lpstr>
      <vt:lpstr>Table 1</vt:lpstr>
      <vt:lpstr>Table 2</vt:lpstr>
      <vt:lpstr>PB_1</vt:lpstr>
      <vt:lpstr>PB_2</vt:lpstr>
      <vt:lpstr>PB_3</vt:lpstr>
      <vt:lpstr>PB_4</vt:lpstr>
      <vt:lpstr>PB_5</vt:lpstr>
      <vt:lpstr>PB_6</vt:lpstr>
      <vt:lpstr>PB_7</vt:lpstr>
      <vt:lpstr>PB_8</vt:lpstr>
      <vt:lpstr>PB_9</vt:lpstr>
      <vt:lpstr>PB_10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Rabih El Habta</dc:creator>
  <cp:keywords/>
  <dc:description/>
  <cp:lastModifiedBy>Dominique Kanobana</cp:lastModifiedBy>
  <cp:revision/>
  <dcterms:created xsi:type="dcterms:W3CDTF">2024-10-30T13:23:51Z</dcterms:created>
  <dcterms:modified xsi:type="dcterms:W3CDTF">2025-03-27T09:28:29Z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0x0101008C56561F2D0DC34F9B8E26B0B38F4E5C</vt:lpwstr>
  </property>
</Properties>
</file>